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20" windowHeight="8580"/>
  </bookViews>
  <sheets>
    <sheet name="Fase de formació" sheetId="1" r:id="rId1"/>
    <sheet name="Període de Recerca" sheetId="2" r:id="rId2"/>
    <sheet name="Periode de recerca (Elab. Tesi)" sheetId="3" r:id="rId3"/>
    <sheet name="Org. i Sup. Admin." sheetId="4" r:id="rId4"/>
    <sheet name="Mitjans" sheetId="5" r:id="rId5"/>
    <sheet name="Valoració Global" sheetId="6" r:id="rId6"/>
    <sheet name="Dades personals i acadèmiques" sheetId="7" r:id="rId7"/>
  </sheets>
  <calcPr calcId="145621"/>
</workbook>
</file>

<file path=xl/calcChain.xml><?xml version="1.0" encoding="utf-8"?>
<calcChain xmlns="http://schemas.openxmlformats.org/spreadsheetml/2006/main">
  <c r="S23" i="6" l="1"/>
  <c r="R23" i="6"/>
  <c r="P23" i="6"/>
  <c r="Q23" i="6"/>
  <c r="O23" i="6"/>
  <c r="R8" i="6"/>
  <c r="Q8" i="6"/>
  <c r="P8" i="6"/>
  <c r="O8" i="6"/>
  <c r="N8" i="6"/>
  <c r="F80" i="5"/>
  <c r="F81" i="5"/>
  <c r="F82" i="5"/>
  <c r="F83" i="5"/>
  <c r="F84" i="5"/>
  <c r="F85" i="5"/>
  <c r="F86" i="5"/>
  <c r="F87" i="5"/>
  <c r="D80" i="5"/>
  <c r="D81" i="5"/>
  <c r="D82" i="5"/>
  <c r="D83" i="5"/>
  <c r="D84" i="5"/>
  <c r="D85" i="5"/>
  <c r="D86" i="5"/>
  <c r="D87" i="5"/>
  <c r="F79" i="5"/>
  <c r="D79" i="5"/>
  <c r="E72" i="5"/>
  <c r="F69" i="5"/>
  <c r="F70" i="5"/>
  <c r="F71" i="5"/>
  <c r="F72" i="5"/>
  <c r="F68" i="5"/>
  <c r="D69" i="5"/>
  <c r="D70" i="5"/>
  <c r="D71" i="5"/>
  <c r="D72" i="5"/>
  <c r="D68" i="5"/>
  <c r="P47" i="5"/>
  <c r="P46" i="5"/>
  <c r="P45" i="5"/>
  <c r="O47" i="5"/>
  <c r="N47" i="5"/>
  <c r="M47" i="5"/>
  <c r="L47" i="5"/>
  <c r="K47" i="5"/>
  <c r="O46" i="5"/>
  <c r="N46" i="5"/>
  <c r="M46" i="5"/>
  <c r="L46" i="5"/>
  <c r="K46" i="5"/>
  <c r="O45" i="5"/>
  <c r="N45" i="5"/>
  <c r="M45" i="5"/>
  <c r="L45" i="5"/>
  <c r="K45" i="5"/>
  <c r="O20" i="5"/>
  <c r="M20" i="5"/>
  <c r="L20" i="5"/>
  <c r="N20" i="5"/>
  <c r="K20" i="5"/>
  <c r="J20" i="5"/>
  <c r="O19" i="5"/>
  <c r="N19" i="5"/>
  <c r="M19" i="5"/>
  <c r="L19" i="5"/>
  <c r="K19" i="5"/>
  <c r="J19" i="5"/>
  <c r="O18" i="5"/>
  <c r="N18" i="5"/>
  <c r="M18" i="5"/>
  <c r="L18" i="5"/>
  <c r="K18" i="5"/>
  <c r="J18" i="5"/>
  <c r="E10" i="5"/>
  <c r="F7" i="5"/>
  <c r="F8" i="5"/>
  <c r="F9" i="5"/>
  <c r="F10" i="5"/>
  <c r="D7" i="5"/>
  <c r="D8" i="5"/>
  <c r="D9" i="5"/>
  <c r="D10" i="5"/>
  <c r="F6" i="5"/>
  <c r="D6" i="5"/>
  <c r="W47" i="4"/>
  <c r="V47" i="4"/>
  <c r="U47" i="4"/>
  <c r="T47" i="4"/>
  <c r="S47" i="4"/>
  <c r="R47" i="4"/>
  <c r="W46" i="4"/>
  <c r="V46" i="4"/>
  <c r="U46" i="4"/>
  <c r="T46" i="4"/>
  <c r="S46" i="4"/>
  <c r="R46" i="4"/>
  <c r="W45" i="4"/>
  <c r="W44" i="4"/>
  <c r="V45" i="4"/>
  <c r="U45" i="4"/>
  <c r="T45" i="4"/>
  <c r="S45" i="4"/>
  <c r="R45" i="4"/>
  <c r="V44" i="4"/>
  <c r="U44" i="4"/>
  <c r="T44" i="4"/>
  <c r="S44" i="4"/>
  <c r="R44" i="4"/>
  <c r="V10" i="4"/>
  <c r="U10" i="4"/>
  <c r="T10" i="4"/>
  <c r="S10" i="4"/>
  <c r="R10" i="4"/>
  <c r="Q10" i="4"/>
  <c r="V9" i="4"/>
  <c r="U9" i="4"/>
  <c r="T9" i="4"/>
  <c r="S9" i="4"/>
  <c r="R9" i="4"/>
  <c r="Q9" i="4"/>
  <c r="V8" i="4"/>
  <c r="U8" i="4"/>
  <c r="T8" i="4"/>
  <c r="S8" i="4"/>
  <c r="R8" i="4"/>
  <c r="Q8" i="4"/>
  <c r="V7" i="4"/>
  <c r="U7" i="4"/>
  <c r="T7" i="4"/>
  <c r="S7" i="4"/>
  <c r="R7" i="4"/>
  <c r="Q7" i="4"/>
  <c r="V81" i="3"/>
  <c r="V80" i="3"/>
  <c r="V79" i="3"/>
  <c r="V78" i="3"/>
  <c r="V77" i="3"/>
  <c r="U81" i="3"/>
  <c r="U80" i="3"/>
  <c r="U79" i="3"/>
  <c r="U78" i="3"/>
  <c r="U77" i="3"/>
  <c r="T81" i="3"/>
  <c r="T80" i="3"/>
  <c r="T79" i="3"/>
  <c r="T78" i="3"/>
  <c r="T77" i="3"/>
  <c r="S81" i="3"/>
  <c r="S80" i="3"/>
  <c r="S79" i="3"/>
  <c r="S78" i="3"/>
  <c r="S77" i="3"/>
  <c r="R81" i="3"/>
  <c r="R80" i="3"/>
  <c r="R79" i="3"/>
  <c r="R78" i="3"/>
  <c r="R77" i="3"/>
  <c r="V53" i="3"/>
  <c r="U53" i="3"/>
  <c r="T53" i="3"/>
  <c r="S53" i="3"/>
  <c r="R53" i="3"/>
  <c r="Q53" i="3"/>
  <c r="V52" i="3"/>
  <c r="U52" i="3"/>
  <c r="T52" i="3"/>
  <c r="S52" i="3"/>
  <c r="R52" i="3"/>
  <c r="Q52" i="3"/>
  <c r="V51" i="3"/>
  <c r="U51" i="3"/>
  <c r="T51" i="3"/>
  <c r="S51" i="3"/>
  <c r="R51" i="3"/>
  <c r="Q51" i="3"/>
  <c r="V50" i="3"/>
  <c r="U50" i="3"/>
  <c r="T50" i="3"/>
  <c r="S50" i="3"/>
  <c r="R50" i="3"/>
  <c r="Q50" i="3"/>
  <c r="V49" i="3"/>
  <c r="U49" i="3"/>
  <c r="T49" i="3"/>
  <c r="S49" i="3"/>
  <c r="R49" i="3"/>
  <c r="Q49" i="3"/>
  <c r="U45" i="2"/>
  <c r="U44" i="2"/>
  <c r="U43" i="2"/>
  <c r="T45" i="2"/>
  <c r="S45" i="2"/>
  <c r="R45" i="2"/>
  <c r="Q45" i="2"/>
  <c r="P45" i="2"/>
  <c r="T44" i="2"/>
  <c r="S44" i="2"/>
  <c r="R44" i="2"/>
  <c r="Q44" i="2"/>
  <c r="P44" i="2"/>
  <c r="T43" i="2"/>
  <c r="S43" i="2"/>
  <c r="R43" i="2"/>
  <c r="Q43" i="2"/>
  <c r="P43" i="2"/>
  <c r="S15" i="3"/>
  <c r="R15" i="3"/>
  <c r="Q15" i="3"/>
  <c r="P15" i="3"/>
  <c r="O15" i="3"/>
  <c r="N15" i="3"/>
  <c r="S14" i="3"/>
  <c r="O12" i="3"/>
  <c r="R14" i="3"/>
  <c r="Q14" i="3"/>
  <c r="P14" i="3"/>
  <c r="O14" i="3"/>
  <c r="N14" i="3"/>
  <c r="S13" i="3"/>
  <c r="S12" i="3"/>
  <c r="S11" i="3"/>
  <c r="R13" i="3"/>
  <c r="Q13" i="3"/>
  <c r="P13" i="3"/>
  <c r="O13" i="3"/>
  <c r="N13" i="3"/>
  <c r="R12" i="3"/>
  <c r="Q12" i="3"/>
  <c r="P12" i="3"/>
  <c r="N12" i="3"/>
  <c r="R11" i="3"/>
  <c r="Q11" i="3"/>
  <c r="P11" i="3"/>
  <c r="O11" i="3"/>
  <c r="N11" i="3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S32" i="1"/>
  <c r="R32" i="1"/>
  <c r="Q32" i="1"/>
  <c r="P32" i="1"/>
  <c r="O32" i="1"/>
  <c r="N32" i="1"/>
  <c r="S31" i="1"/>
  <c r="R31" i="1"/>
  <c r="Q31" i="1"/>
  <c r="P31" i="1"/>
  <c r="O31" i="1"/>
  <c r="N31" i="1"/>
  <c r="R9" i="1"/>
  <c r="R8" i="1"/>
  <c r="Q9" i="1"/>
  <c r="P9" i="1"/>
  <c r="O9" i="1"/>
  <c r="N9" i="1"/>
  <c r="M9" i="1"/>
  <c r="Q8" i="1"/>
  <c r="P8" i="1"/>
  <c r="O8" i="1"/>
  <c r="N8" i="1"/>
  <c r="M8" i="1"/>
</calcChain>
</file>

<file path=xl/sharedStrings.xml><?xml version="1.0" encoding="utf-8"?>
<sst xmlns="http://schemas.openxmlformats.org/spreadsheetml/2006/main" count="124" uniqueCount="74">
  <si>
    <t>1.1.2 Els cursos del període de formació (màster) signifiquen un nivell formatiu superior als estudis previs que he cursat</t>
  </si>
  <si>
    <t>1 - Molt en desacord</t>
  </si>
  <si>
    <t>5 - Molt d'acord</t>
  </si>
  <si>
    <t>Mitjana</t>
  </si>
  <si>
    <t>Falta</t>
  </si>
  <si>
    <t>Sobra</t>
  </si>
  <si>
    <r>
      <t xml:space="preserve">1.1.1 Els cursos del període de formació (màster són d'interès per a la meva activitat de recerca
</t>
    </r>
    <r>
      <rPr>
        <i/>
        <sz val="11"/>
        <color theme="0"/>
        <rFont val="Calibri"/>
        <family val="2"/>
        <scheme val="minor"/>
      </rPr>
      <t>Los cursos del periodo de formación (máster) son de interés para mi actividad de investigación.</t>
    </r>
  </si>
  <si>
    <t>Segueixo orientacions del meu/meva director/a o d'altre professorat</t>
  </si>
  <si>
    <t>Consulto catàlegs i bases de dades especialitzades</t>
  </si>
  <si>
    <t>Consulto a travès de cercadors d'Internet</t>
  </si>
  <si>
    <t>Consulto bibliografia citada en fonts d'informació que llegeixo</t>
  </si>
  <si>
    <t>Altres</t>
  </si>
  <si>
    <t>1ª opció</t>
  </si>
  <si>
    <t>2ª opció</t>
  </si>
  <si>
    <t>3ª opció</t>
  </si>
  <si>
    <t>4ª opció</t>
  </si>
  <si>
    <t>5ª opció</t>
  </si>
  <si>
    <t>No contesten</t>
  </si>
  <si>
    <t>%</t>
  </si>
  <si>
    <t>Respostes</t>
  </si>
  <si>
    <r>
      <t xml:space="preserve">5.1 Indiqueu els mitjans que us facilita el departament o l'institut per al treball personal
</t>
    </r>
    <r>
      <rPr>
        <b/>
        <i/>
        <sz val="11"/>
        <color theme="0"/>
        <rFont val="Calibri"/>
        <family val="2"/>
        <scheme val="minor"/>
      </rPr>
      <t>Indique los medios que os facilita el departamento o el instituto para el trabajo personal</t>
    </r>
  </si>
  <si>
    <t xml:space="preserve"> </t>
  </si>
  <si>
    <r>
      <t xml:space="preserve">Taula
</t>
    </r>
    <r>
      <rPr>
        <i/>
        <sz val="9"/>
        <color theme="4" tint="-0.249977111117893"/>
        <rFont val="Calibri"/>
        <family val="2"/>
        <scheme val="minor"/>
      </rPr>
      <t>Mesa</t>
    </r>
  </si>
  <si>
    <r>
      <t xml:space="preserve">Aparells de laboratori
</t>
    </r>
    <r>
      <rPr>
        <i/>
        <sz val="9"/>
        <color theme="4" tint="-0.249977111117893"/>
        <rFont val="Calibri"/>
        <family val="2"/>
        <scheme val="minor"/>
      </rPr>
      <t>Instrumentos de laboratorio</t>
    </r>
  </si>
  <si>
    <r>
      <t xml:space="preserve">Cap. Utilitzo els generals de la Universitat
</t>
    </r>
    <r>
      <rPr>
        <i/>
        <sz val="9"/>
        <color theme="4" tint="-0.249977111117893"/>
        <rFont val="Calibri"/>
        <family val="2"/>
        <scheme val="minor"/>
      </rPr>
      <t>Ninguno. Utilizo los generales de la Universidad</t>
    </r>
  </si>
  <si>
    <r>
      <t xml:space="preserve">5.5 Indiqueu, si és el vostre cas, les dificultats amb què us heu trobat a l'hora de cercar i obtenir la documentació en les biblioteques de la UPC
</t>
    </r>
    <r>
      <rPr>
        <b/>
        <i/>
        <sz val="11"/>
        <color theme="0"/>
        <rFont val="Calibri"/>
        <family val="2"/>
        <scheme val="minor"/>
      </rPr>
      <t>Indique, si es su caso, las dificultades con que se ha encontrado a la hora de buscar y obtener la documentación en las bibliotecas de la UPC</t>
    </r>
  </si>
  <si>
    <r>
      <t xml:space="preserve">Altres
</t>
    </r>
    <r>
      <rPr>
        <i/>
        <sz val="9"/>
        <color theme="4" tint="-0.249977111117893"/>
        <rFont val="Calibri"/>
        <family val="2"/>
        <scheme val="minor"/>
      </rPr>
      <t>Otros</t>
    </r>
  </si>
  <si>
    <r>
      <t xml:space="preserve">Recursos no consultables
</t>
    </r>
    <r>
      <rPr>
        <i/>
        <sz val="9"/>
        <color theme="4" tint="-0.249977111117893"/>
        <rFont val="Calibri"/>
        <family val="2"/>
        <scheme val="minor"/>
      </rPr>
      <t>Recursos no consultables</t>
    </r>
  </si>
  <si>
    <r>
      <t xml:space="preserve">Cost elevat de la informació
</t>
    </r>
    <r>
      <rPr>
        <i/>
        <sz val="9"/>
        <color theme="4" tint="-0.249977111117893"/>
        <rFont val="Calibri"/>
        <family val="2"/>
        <scheme val="minor"/>
      </rPr>
      <t>Coste elevado de la información</t>
    </r>
  </si>
  <si>
    <r>
      <t xml:space="preserve">Disfuncions en l'accés a la informació electrònica
</t>
    </r>
    <r>
      <rPr>
        <i/>
        <sz val="9"/>
        <color theme="4" tint="-0.249977111117893"/>
        <rFont val="Calibri"/>
        <family val="2"/>
        <scheme val="minor"/>
      </rPr>
      <t>Disfunciones en el acceso a la información electrónica</t>
    </r>
  </si>
  <si>
    <r>
      <t xml:space="preserve">5.6 Detalleu les fonts d'informació i documentació que heu consultat a les biblioteques de la UPC durant el curs
</t>
    </r>
    <r>
      <rPr>
        <b/>
        <i/>
        <sz val="11"/>
        <color theme="0"/>
        <rFont val="Calibri"/>
        <family val="2"/>
        <scheme val="minor"/>
      </rPr>
      <t>Detalle las fuentes de información y documentación que ha consultado en las bibliotecas de la UPC durante el curso</t>
    </r>
  </si>
  <si>
    <r>
      <t xml:space="preserve">Revistes
</t>
    </r>
    <r>
      <rPr>
        <i/>
        <sz val="9"/>
        <color theme="4" tint="-0.249977111117893"/>
        <rFont val="Calibri"/>
        <family val="2"/>
        <scheme val="minor"/>
      </rPr>
      <t>Revistas</t>
    </r>
  </si>
  <si>
    <r>
      <t>Butlletins de sumaris
S</t>
    </r>
    <r>
      <rPr>
        <i/>
        <sz val="9"/>
        <color theme="4" tint="-0.249977111117893"/>
        <rFont val="Calibri"/>
        <family val="2"/>
        <scheme val="minor"/>
      </rPr>
      <t>umarios</t>
    </r>
  </si>
  <si>
    <r>
      <t xml:space="preserve">Actes de congressos
</t>
    </r>
    <r>
      <rPr>
        <i/>
        <sz val="9"/>
        <color theme="4" tint="-0.249977111117893"/>
        <rFont val="Calibri"/>
        <family val="2"/>
        <scheme val="minor"/>
      </rPr>
      <t>Actas de congresos</t>
    </r>
  </si>
  <si>
    <r>
      <t xml:space="preserve">Tesis doctorals
</t>
    </r>
    <r>
      <rPr>
        <i/>
        <sz val="9"/>
        <color theme="4" tint="-0.249977111117893"/>
        <rFont val="Calibri"/>
        <family val="2"/>
        <scheme val="minor"/>
      </rPr>
      <t>Tesis doctorales</t>
    </r>
  </si>
  <si>
    <r>
      <t xml:space="preserve">Normes i textos legislatius (ISO - UNE - legislació oficial - etc.)
</t>
    </r>
    <r>
      <rPr>
        <i/>
        <sz val="9"/>
        <color theme="4" tint="-0.249977111117893"/>
        <rFont val="Calibri"/>
        <family val="2"/>
        <scheme val="minor"/>
      </rPr>
      <t>Normas y textos legislativos (ISO - UNE - legislación oficial - etc.)</t>
    </r>
  </si>
  <si>
    <r>
      <t xml:space="preserve">Llibres
</t>
    </r>
    <r>
      <rPr>
        <i/>
        <sz val="9"/>
        <color theme="4" tint="-0.249977111117893"/>
        <rFont val="Calibri"/>
        <family val="2"/>
        <scheme val="minor"/>
      </rPr>
      <t>Libros</t>
    </r>
  </si>
  <si>
    <r>
      <t xml:space="preserve">Patents
</t>
    </r>
    <r>
      <rPr>
        <i/>
        <sz val="9"/>
        <color theme="4" tint="-0.249977111117893"/>
        <rFont val="Calibri"/>
        <family val="2"/>
        <scheme val="minor"/>
      </rPr>
      <t>Patentes</t>
    </r>
  </si>
  <si>
    <r>
      <t xml:space="preserve">Recursos a Internet (blogs, guies i portals temàtics, news…)
</t>
    </r>
    <r>
      <rPr>
        <i/>
        <sz val="9"/>
        <color theme="4" tint="-0.249977111117893"/>
        <rFont val="Calibri"/>
        <family val="2"/>
        <scheme val="minor"/>
      </rPr>
      <t>Recursos en Internet (Blogs, guias y portales temáticos, news…)</t>
    </r>
  </si>
  <si>
    <r>
      <t xml:space="preserve">Cap
</t>
    </r>
    <r>
      <rPr>
        <i/>
        <sz val="9"/>
        <color theme="4" tint="-0.249977111117893"/>
        <rFont val="Calibri"/>
        <family val="2"/>
        <scheme val="minor"/>
      </rPr>
      <t>Ninguno</t>
    </r>
  </si>
  <si>
    <r>
      <t xml:space="preserve">1.1.1 Els cursos del període de formació (màster són d'interès per a la meva activitat de recerca
</t>
    </r>
    <r>
      <rPr>
        <i/>
        <sz val="11"/>
        <color theme="0"/>
        <rFont val="Calibri"/>
        <family val="2"/>
        <scheme val="minor"/>
      </rPr>
      <t>Los cursos del periodo de formación (máster) son de interés para mi actividad de investigación</t>
    </r>
  </si>
  <si>
    <t>UPC</t>
  </si>
  <si>
    <t>Altres unis</t>
  </si>
  <si>
    <t>Administració</t>
  </si>
  <si>
    <t>Centre de recerca</t>
  </si>
  <si>
    <t>Empresa provada</t>
  </si>
  <si>
    <t>Cap</t>
  </si>
  <si>
    <t>Com a professor/a</t>
  </si>
  <si>
    <t>Com a investigador/a</t>
  </si>
  <si>
    <t>Com a becari/a</t>
  </si>
  <si>
    <t>Ns/Nc</t>
  </si>
  <si>
    <r>
      <t xml:space="preserve">A través de canals d'informació de la Universitat (Oficina de Doctorat - Servei de Relacions Internacionals - guies informatives - etc.) 
</t>
    </r>
    <r>
      <rPr>
        <i/>
        <sz val="9"/>
        <color theme="4" tint="-0.249977111117893"/>
        <rFont val="Calibri"/>
        <family val="2"/>
        <scheme val="minor"/>
      </rPr>
      <t xml:space="preserve">A través de los canales de información de la Universidad (Oficina de Doctorado – Servicio de Relaciones Internacionales – guías informativas, etc.) </t>
    </r>
  </si>
  <si>
    <r>
      <t xml:space="preserve">7.2 Com us heu assabentat de la organització del programa?
</t>
    </r>
    <r>
      <rPr>
        <b/>
        <i/>
        <sz val="11"/>
        <color theme="0"/>
        <rFont val="Calibri"/>
        <family val="2"/>
        <scheme val="minor"/>
      </rPr>
      <t>¿Cómo se ha enterado de la organización del programa?</t>
    </r>
  </si>
  <si>
    <r>
      <t xml:space="preserve"> A través del departament o de l'institut 
</t>
    </r>
    <r>
      <rPr>
        <i/>
        <sz val="9"/>
        <color theme="4" tint="-0.249977111117893"/>
        <rFont val="Calibri"/>
        <family val="2"/>
        <scheme val="minor"/>
      </rPr>
      <t>A través del departamento o del instituto</t>
    </r>
  </si>
  <si>
    <r>
      <t xml:space="preserve">Per estudiantat del programa 
 </t>
    </r>
    <r>
      <rPr>
        <i/>
        <sz val="9"/>
        <color theme="4" tint="-0.249977111117893"/>
        <rFont val="Calibri"/>
        <family val="2"/>
        <scheme val="minor"/>
      </rPr>
      <t xml:space="preserve">Por estudiantes del programa </t>
    </r>
  </si>
  <si>
    <r>
      <t xml:space="preserve">Per altres mitjans
</t>
    </r>
    <r>
      <rPr>
        <i/>
        <sz val="9"/>
        <color theme="4" tint="-0.249977111117893"/>
        <rFont val="Calibri"/>
        <family val="2"/>
        <scheme val="minor"/>
      </rPr>
      <t xml:space="preserve">Por otros medios </t>
    </r>
  </si>
  <si>
    <t>Prom dins</t>
  </si>
  <si>
    <t>Prom fora</t>
  </si>
  <si>
    <t>Completar</t>
  </si>
  <si>
    <t>Fer investigacio</t>
  </si>
  <si>
    <t>Unica unv</t>
  </si>
  <si>
    <t>Ser titulat UPC</t>
  </si>
  <si>
    <t>Prestigi UPC</t>
  </si>
  <si>
    <t>Proximitat</t>
  </si>
  <si>
    <t>Teballar Upc</t>
  </si>
  <si>
    <t>Menys de 10</t>
  </si>
  <si>
    <t>De 10 a 20</t>
  </si>
  <si>
    <t>De 20 a 30</t>
  </si>
  <si>
    <t>Mes de 30</t>
  </si>
  <si>
    <t>1.1 Orientació acadèmica i mètode docent del programa</t>
  </si>
  <si>
    <t>2.1 Aspectes sobre el projecte o proposta de tesi</t>
  </si>
  <si>
    <t>3.1 Aspectes sobre la tesi</t>
  </si>
  <si>
    <r>
      <t xml:space="preserve">Ordinador
</t>
    </r>
    <r>
      <rPr>
        <i/>
        <sz val="9"/>
        <color theme="4" tint="-0.249977111117893"/>
        <rFont val="Calibri"/>
        <family val="2"/>
        <scheme val="minor"/>
      </rPr>
      <t>Ordenador</t>
    </r>
  </si>
  <si>
    <r>
      <t xml:space="preserve">Poc suport del personal bibliotecari
</t>
    </r>
    <r>
      <rPr>
        <i/>
        <sz val="9"/>
        <color theme="4" tint="-0.249977111117893"/>
        <rFont val="Calibri"/>
        <family val="2"/>
        <scheme val="minor"/>
      </rPr>
      <t>Poco apoyo del personal bibliotecario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</si>
</sst>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FF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10" fontId="2" fillId="0" borderId="0" xfId="1" applyNumberFormat="1" applyFont="1"/>
    <xf numFmtId="2" fontId="2" fillId="0" borderId="0" xfId="0" applyNumberFormat="1" applyFont="1"/>
    <xf numFmtId="1" fontId="2" fillId="0" borderId="0" xfId="1" applyNumberFormat="1" applyFont="1"/>
    <xf numFmtId="0" fontId="7" fillId="0" borderId="4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0" fontId="10" fillId="3" borderId="0" xfId="1" applyNumberFormat="1" applyFont="1" applyFill="1" applyBorder="1" applyAlignment="1">
      <alignment horizontal="center" vertical="center"/>
    </xf>
    <xf numFmtId="10" fontId="10" fillId="3" borderId="5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10" fillId="4" borderId="0" xfId="1" applyNumberFormat="1" applyFont="1" applyFill="1" applyBorder="1" applyAlignment="1">
      <alignment horizontal="center" vertical="center"/>
    </xf>
    <xf numFmtId="10" fontId="10" fillId="4" borderId="5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0" fontId="10" fillId="3" borderId="7" xfId="1" applyNumberFormat="1" applyFont="1" applyFill="1" applyBorder="1" applyAlignment="1">
      <alignment horizontal="center" vertical="center"/>
    </xf>
    <xf numFmtId="10" fontId="10" fillId="3" borderId="8" xfId="1" applyNumberFormat="1" applyFont="1" applyFill="1" applyBorder="1" applyAlignment="1">
      <alignment horizontal="center" vertical="center"/>
    </xf>
    <xf numFmtId="10" fontId="0" fillId="0" borderId="0" xfId="1" applyNumberFormat="1" applyFont="1"/>
    <xf numFmtId="0" fontId="8" fillId="4" borderId="6" xfId="0" applyFont="1" applyFill="1" applyBorder="1" applyAlignment="1">
      <alignment horizontal="center" vertical="center" wrapText="1"/>
    </xf>
    <xf numFmtId="0" fontId="2" fillId="0" borderId="0" xfId="1" applyNumberFormat="1" applyFont="1"/>
    <xf numFmtId="0" fontId="2" fillId="0" borderId="0" xfId="0" applyNumberFormat="1" applyFont="1"/>
    <xf numFmtId="0" fontId="11" fillId="0" borderId="7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0" fontId="10" fillId="3" borderId="0" xfId="1" applyNumberFormat="1" applyFont="1" applyFill="1" applyBorder="1" applyAlignment="1">
      <alignment horizontal="center" vertical="center"/>
    </xf>
    <xf numFmtId="10" fontId="10" fillId="4" borderId="0" xfId="1" applyNumberFormat="1" applyFont="1" applyFill="1" applyBorder="1" applyAlignment="1">
      <alignment horizontal="center" vertical="center"/>
    </xf>
    <xf numFmtId="10" fontId="10" fillId="4" borderId="7" xfId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10" fontId="10" fillId="3" borderId="5" xfId="1" applyNumberFormat="1" applyFont="1" applyFill="1" applyBorder="1" applyAlignment="1">
      <alignment horizontal="center" vertical="center"/>
    </xf>
    <xf numFmtId="10" fontId="10" fillId="4" borderId="5" xfId="1" applyNumberFormat="1" applyFont="1" applyFill="1" applyBorder="1" applyAlignment="1">
      <alignment horizontal="center" vertical="center"/>
    </xf>
    <xf numFmtId="10" fontId="10" fillId="4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2">
    <cellStyle name="Normal" xfId="0" builtinId="0"/>
    <cellStyle name="Percentatge" xfId="1" builtinId="5"/>
  </cellStyles>
  <dxfs count="0"/>
  <tableStyles count="0" defaultTableStyle="TableStyleMedium9" defaultPivotStyle="PivotStyleLight16"/>
  <colors>
    <mruColors>
      <color rgb="FF9E0232"/>
      <color rgb="FFEC82D0"/>
      <color rgb="FFE9EFF7"/>
      <color rgb="FFA6BFDE"/>
      <color rgb="FFF975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s-ES" sz="1400">
                <a:solidFill>
                  <a:schemeClr val="tx2"/>
                </a:solidFill>
              </a:rPr>
              <a:t>Opinió global / </a:t>
            </a:r>
            <a:r>
              <a:rPr lang="es-ES" sz="1400" i="1">
                <a:solidFill>
                  <a:schemeClr val="tx2"/>
                </a:solidFill>
              </a:rPr>
              <a:t>Opinión global</a:t>
            </a:r>
            <a:endParaRPr lang="es-ES" sz="1400">
              <a:solidFill>
                <a:schemeClr val="tx2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4944498418737638"/>
          <c:y val="0.14432991330629141"/>
          <c:w val="0.50284192233229164"/>
          <c:h val="0.488670123551629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'Fase de formació'!$M$7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3073714348416722E-3"/>
                  <c:y val="-6.0815312720056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586875890323743E-3"/>
                  <c:y val="-6.6138659496831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formació'!$L$8:$L$9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formació'!$M$8:$M$9</c:f>
              <c:numCache>
                <c:formatCode>0.00%</c:formatCode>
                <c:ptCount val="2"/>
                <c:pt idx="0">
                  <c:v>4.8854961832061068E-2</c:v>
                </c:pt>
                <c:pt idx="1">
                  <c:v>0.1130030959752322</c:v>
                </c:pt>
              </c:numCache>
            </c:numRef>
          </c:val>
        </c:ser>
        <c:ser>
          <c:idx val="1"/>
          <c:order val="1"/>
          <c:tx>
            <c:strRef>
              <c:f>'Fase de formació'!$N$7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384214293552095E-2"/>
                  <c:y val="-6.1997567377248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2305285761312537E-3"/>
                  <c:y val="-6.2984187952115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formació'!$L$8:$L$9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formació'!$N$8:$N$9</c:f>
              <c:numCache>
                <c:formatCode>0.00%</c:formatCode>
                <c:ptCount val="2"/>
                <c:pt idx="0">
                  <c:v>0.12824427480916031</c:v>
                </c:pt>
                <c:pt idx="1">
                  <c:v>0.14396284829721362</c:v>
                </c:pt>
              </c:numCache>
            </c:numRef>
          </c:val>
        </c:ser>
        <c:ser>
          <c:idx val="2"/>
          <c:order val="2"/>
          <c:tx>
            <c:strRef>
              <c:f>'Fase de formació'!$O$7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998957163235512E-2"/>
                  <c:y val="-5.8843351898085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45107914880855E-2"/>
                  <c:y val="-6.2983931886562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formació'!$L$8:$L$9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formació'!$O$8:$O$9</c:f>
              <c:numCache>
                <c:formatCode>0.00%</c:formatCode>
                <c:ptCount val="2"/>
                <c:pt idx="0">
                  <c:v>0.23511450381679388</c:v>
                </c:pt>
                <c:pt idx="1">
                  <c:v>0.23065015479876161</c:v>
                </c:pt>
              </c:numCache>
            </c:numRef>
          </c:val>
        </c:ser>
        <c:ser>
          <c:idx val="3"/>
          <c:order val="3"/>
          <c:tx>
            <c:strRef>
              <c:f>'Fase de formació'!$P$7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7767385750339633E-2"/>
                  <c:y val="-5.8941425004801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229485739366689E-2"/>
                  <c:y val="-6.28866269765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formació'!$L$8:$L$9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formació'!$P$8:$P$9</c:f>
              <c:numCache>
                <c:formatCode>0.00%</c:formatCode>
                <c:ptCount val="2"/>
                <c:pt idx="0">
                  <c:v>0.31450381679389311</c:v>
                </c:pt>
                <c:pt idx="1">
                  <c:v>0.26470588235294118</c:v>
                </c:pt>
              </c:numCache>
            </c:numRef>
          </c:val>
        </c:ser>
        <c:ser>
          <c:idx val="4"/>
          <c:order val="4"/>
          <c:tx>
            <c:strRef>
              <c:f>'Fase de formació'!$Q$7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460014315497942E-2"/>
                  <c:y val="-5.687011074835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152642880656278E-2"/>
                  <c:y val="-6.091415402342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formació'!$L$8:$L$9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formació'!$Q$8:$Q$9</c:f>
              <c:numCache>
                <c:formatCode>0.00%</c:formatCode>
                <c:ptCount val="2"/>
                <c:pt idx="0">
                  <c:v>0.2732824427480916</c:v>
                </c:pt>
                <c:pt idx="1">
                  <c:v>0.24767801857585139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5"/>
        <c:overlap val="100"/>
        <c:axId val="113218304"/>
        <c:axId val="113219840"/>
      </c:barChart>
      <c:catAx>
        <c:axId val="113218304"/>
        <c:scaling>
          <c:orientation val="maxMin"/>
        </c:scaling>
        <c:delete val="1"/>
        <c:axPos val="l"/>
        <c:majorTickMark val="out"/>
        <c:minorTickMark val="none"/>
        <c:tickLblPos val="none"/>
        <c:crossAx val="113219840"/>
        <c:crosses val="autoZero"/>
        <c:auto val="1"/>
        <c:lblAlgn val="ctr"/>
        <c:lblOffset val="100"/>
        <c:noMultiLvlLbl val="0"/>
      </c:catAx>
      <c:valAx>
        <c:axId val="11321984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321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72964052139552"/>
          <c:y val="0.70713654695602057"/>
          <c:w val="0.65161860465268506"/>
          <c:h val="6.0579274324377798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n-US" sz="1400">
                <a:solidFill>
                  <a:schemeClr val="tx2"/>
                </a:solidFill>
              </a:rPr>
              <a:t>Opinió dels vinculats a la UPC</a:t>
            </a:r>
            <a:r>
              <a:rPr lang="en-US" sz="1400" baseline="0">
                <a:solidFill>
                  <a:schemeClr val="tx2"/>
                </a:solidFill>
              </a:rPr>
              <a:t> / </a:t>
            </a:r>
            <a:r>
              <a:rPr lang="en-US" sz="1400" i="1" baseline="0">
                <a:solidFill>
                  <a:schemeClr val="tx2"/>
                </a:solidFill>
              </a:rPr>
              <a:t> Opinión de los vinculados a la UPC</a:t>
            </a:r>
            <a:endParaRPr lang="en-US" sz="1400">
              <a:solidFill>
                <a:schemeClr val="tx2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8546496648548872"/>
          <c:y val="0.11359188924913799"/>
          <c:w val="0.59949738566143751"/>
          <c:h val="0.777212643678161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'Org. i Sup. Admin.'!$W$43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Admin.'!$Q$44:$Q$47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Admin.'!$W$44:$W$47</c:f>
              <c:numCache>
                <c:formatCode>0.00</c:formatCode>
                <c:ptCount val="4"/>
                <c:pt idx="0">
                  <c:v>3.4494117647058822</c:v>
                </c:pt>
                <c:pt idx="1">
                  <c:v>3.7361111111111112</c:v>
                </c:pt>
                <c:pt idx="2">
                  <c:v>3.5523114355231145</c:v>
                </c:pt>
                <c:pt idx="3">
                  <c:v>3.2666666666666666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45536"/>
        <c:axId val="112147072"/>
      </c:barChart>
      <c:catAx>
        <c:axId val="1121455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2147072"/>
        <c:crosses val="autoZero"/>
        <c:auto val="1"/>
        <c:lblAlgn val="ctr"/>
        <c:lblOffset val="100"/>
        <c:noMultiLvlLbl val="0"/>
      </c:catAx>
      <c:valAx>
        <c:axId val="11214707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214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s-ES" sz="1400">
                <a:solidFill>
                  <a:schemeClr val="tx2"/>
                </a:solidFill>
              </a:rPr>
              <a:t>Opinió global / </a:t>
            </a:r>
            <a:r>
              <a:rPr lang="es-ES" sz="1400" i="1">
                <a:solidFill>
                  <a:schemeClr val="tx2"/>
                </a:solidFill>
              </a:rPr>
              <a:t>Opinión</a:t>
            </a:r>
            <a:r>
              <a:rPr lang="es-ES" sz="1400" i="1" baseline="0">
                <a:solidFill>
                  <a:schemeClr val="tx2"/>
                </a:solidFill>
              </a:rPr>
              <a:t> global</a:t>
            </a:r>
            <a:endParaRPr lang="es-ES" sz="14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33262227263143362"/>
          <c:y val="2.96846011131725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004951250899726"/>
          <c:y val="9.1527520098948711E-2"/>
          <c:w val="0.55015744489428697"/>
          <c:h val="0.675738000282432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Mitjans!$J$17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3980994757926778E-3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3980994757926778E-3"/>
                  <c:y val="-5.9368812664650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1389476592434252E-3"/>
                  <c:y val="-5.689529068606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Mitjans!$I$18:$I$20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Mitjans!$J$18:$J$20</c:f>
              <c:numCache>
                <c:formatCode>0.00%</c:formatCode>
                <c:ptCount val="3"/>
                <c:pt idx="0">
                  <c:v>0.11030303030303031</c:v>
                </c:pt>
                <c:pt idx="1">
                  <c:v>9.7826086956521743E-2</c:v>
                </c:pt>
                <c:pt idx="2">
                  <c:v>2.2085889570552148E-2</c:v>
                </c:pt>
              </c:numCache>
            </c:numRef>
          </c:val>
        </c:ser>
        <c:ser>
          <c:idx val="1"/>
          <c:order val="1"/>
          <c:tx>
            <c:strRef>
              <c:f>Mitjans!$K$17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3979540646061884E-3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65901076769893E-3"/>
                  <c:y val="-5.68950959052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132564108156839E-2"/>
                  <c:y val="-6.184272420492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Mitjans!$I$18:$I$20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Mitjans!$K$18:$K$20</c:f>
              <c:numCache>
                <c:formatCode>0.00%</c:formatCode>
                <c:ptCount val="3"/>
                <c:pt idx="0">
                  <c:v>0.10424242424242425</c:v>
                </c:pt>
                <c:pt idx="1">
                  <c:v>0.11594202898550725</c:v>
                </c:pt>
                <c:pt idx="2">
                  <c:v>4.785276073619632E-2</c:v>
                </c:pt>
              </c:numCache>
            </c:numRef>
          </c:val>
        </c:ser>
        <c:ser>
          <c:idx val="2"/>
          <c:order val="2"/>
          <c:tx>
            <c:strRef>
              <c:f>Mitjans!$L$17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191179357427977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993761860099964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789815400498766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Mitjans!$I$18:$I$20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Mitjans!$L$18:$L$20</c:f>
              <c:numCache>
                <c:formatCode>0.00%</c:formatCode>
                <c:ptCount val="3"/>
                <c:pt idx="0">
                  <c:v>0.17454545454545456</c:v>
                </c:pt>
                <c:pt idx="1">
                  <c:v>0.15579710144927536</c:v>
                </c:pt>
                <c:pt idx="2">
                  <c:v>0.19018404907975461</c:v>
                </c:pt>
              </c:numCache>
            </c:numRef>
          </c:val>
        </c:ser>
        <c:ser>
          <c:idx val="3"/>
          <c:order val="3"/>
          <c:tx>
            <c:strRef>
              <c:f>Mitjans!$M$17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0382358714855913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5780458190648634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573538072283897E-2"/>
                  <c:y val="-5.936900744549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Mitjans!$I$18:$I$20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Mitjans!$M$18:$M$20</c:f>
              <c:numCache>
                <c:formatCode>0.00%</c:formatCode>
                <c:ptCount val="3"/>
                <c:pt idx="0">
                  <c:v>0.26545454545454544</c:v>
                </c:pt>
                <c:pt idx="1">
                  <c:v>0.28743961352657005</c:v>
                </c:pt>
                <c:pt idx="2">
                  <c:v>0.36441717791411044</c:v>
                </c:pt>
              </c:numCache>
            </c:numRef>
          </c:val>
        </c:ser>
        <c:ser>
          <c:idx val="4"/>
          <c:order val="4"/>
          <c:tx>
            <c:strRef>
              <c:f>Mitjans!$N$17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0175438596491224E-2"/>
                  <c:y val="-5.9368812664650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175438596491224E-2"/>
                  <c:y val="-5.689509590521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2319526541204E-2"/>
                  <c:y val="-6.184252942408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Mitjans!$I$18:$I$20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Mitjans!$N$18:$N$20</c:f>
              <c:numCache>
                <c:formatCode>0.00%</c:formatCode>
                <c:ptCount val="3"/>
                <c:pt idx="0">
                  <c:v>0.34545454545454546</c:v>
                </c:pt>
                <c:pt idx="1">
                  <c:v>0.34299516908212563</c:v>
                </c:pt>
                <c:pt idx="2">
                  <c:v>0.3754601226993865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00"/>
        <c:axId val="119585408"/>
        <c:axId val="119619968"/>
      </c:barChart>
      <c:catAx>
        <c:axId val="11958540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9619968"/>
        <c:crosses val="autoZero"/>
        <c:auto val="1"/>
        <c:lblAlgn val="ctr"/>
        <c:lblOffset val="100"/>
        <c:noMultiLvlLbl val="0"/>
      </c:catAx>
      <c:valAx>
        <c:axId val="11961996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9585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802189892468418"/>
          <c:y val="0.77468667065967445"/>
          <c:w val="0.51437335515246763"/>
          <c:h val="5.7100589699014895E-2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n-US" sz="1400">
                <a:solidFill>
                  <a:schemeClr val="tx2"/>
                </a:solidFill>
              </a:rPr>
              <a:t>Opinió dels vinculats a la UPC / </a:t>
            </a:r>
            <a:r>
              <a:rPr lang="en-US" sz="1400" i="1">
                <a:solidFill>
                  <a:schemeClr val="tx2"/>
                </a:solidFill>
              </a:rPr>
              <a:t> Opinió dels vinculats</a:t>
            </a:r>
            <a:r>
              <a:rPr lang="en-US" sz="1400" i="1" baseline="0">
                <a:solidFill>
                  <a:schemeClr val="tx2"/>
                </a:solidFill>
              </a:rPr>
              <a:t> a la UPC</a:t>
            </a:r>
            <a:endParaRPr lang="en-US" sz="14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6016333838221133"/>
          <c:y val="3.31825037707390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289134109834198"/>
          <c:y val="0.11924585218702866"/>
          <c:w val="0.55673826701981877"/>
          <c:h val="0.73897435897435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Mitjans!$P$44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Mitjans!$J$45:$J$47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Mitjans!$P$45:$P$47</c:f>
              <c:numCache>
                <c:formatCode>0.00</c:formatCode>
                <c:ptCount val="3"/>
                <c:pt idx="0">
                  <c:v>3.8151658767772512</c:v>
                </c:pt>
                <c:pt idx="1">
                  <c:v>3.8160377358490565</c:v>
                </c:pt>
                <c:pt idx="2">
                  <c:v>4.0565552699228791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2"/>
        <c:axId val="119653888"/>
        <c:axId val="119655424"/>
      </c:barChart>
      <c:catAx>
        <c:axId val="1196538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9655424"/>
        <c:crosses val="autoZero"/>
        <c:auto val="1"/>
        <c:lblAlgn val="ctr"/>
        <c:lblOffset val="100"/>
        <c:noMultiLvlLbl val="0"/>
      </c:catAx>
      <c:valAx>
        <c:axId val="119655424"/>
        <c:scaling>
          <c:orientation val="minMax"/>
          <c:min val="3"/>
        </c:scaling>
        <c:delete val="1"/>
        <c:axPos val="t"/>
        <c:numFmt formatCode="0.00" sourceLinked="1"/>
        <c:majorTickMark val="out"/>
        <c:minorTickMark val="none"/>
        <c:tickLblPos val="none"/>
        <c:crossAx val="11965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solidFill>
                  <a:schemeClr val="tx2"/>
                </a:solidFill>
              </a:rPr>
              <a:t> Opinió global / </a:t>
            </a:r>
            <a:r>
              <a:rPr lang="es-ES" sz="1400" b="1" i="1" baseline="0">
                <a:solidFill>
                  <a:schemeClr val="tx2"/>
                </a:solidFill>
              </a:rPr>
              <a:t>Opinión global</a:t>
            </a:r>
            <a:endParaRPr lang="es-ES" sz="1400" b="1" i="0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32769089879427443"/>
          <c:y val="5.38810944399199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40475694114848132"/>
          <c:y val="0.17038196872955336"/>
          <c:w val="0.56055819366125659"/>
          <c:h val="0.362656559047597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'Valoració Global'!$N$7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52340146902647E-2"/>
                  <c:y val="9.287217872343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'Valoració Global'!$M$8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'Valoració Global'!$N$8</c:f>
              <c:numCache>
                <c:formatCode>0.00%</c:formatCode>
                <c:ptCount val="1"/>
                <c:pt idx="0">
                  <c:v>1.3157894736842105E-2</c:v>
                </c:pt>
              </c:numCache>
            </c:numRef>
          </c:val>
        </c:ser>
        <c:ser>
          <c:idx val="1"/>
          <c:order val="1"/>
          <c:tx>
            <c:strRef>
              <c:f>'Valoració Global'!$O$7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561836457082379E-2"/>
                  <c:y val="9.287217872343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'Valoració Global'!$M$8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'Valoració Global'!$O$8</c:f>
              <c:numCache>
                <c:formatCode>0.00%</c:formatCode>
                <c:ptCount val="1"/>
                <c:pt idx="0">
                  <c:v>7.4561403508771926E-2</c:v>
                </c:pt>
              </c:numCache>
            </c:numRef>
          </c:val>
        </c:ser>
        <c:ser>
          <c:idx val="2"/>
          <c:order val="2"/>
          <c:tx>
            <c:strRef>
              <c:f>'Valoració Global'!$P$7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6242254111778338E-2"/>
                  <c:y val="8.867930383750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'Valoració Global'!$M$8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'Valoració Global'!$P$8</c:f>
              <c:numCache>
                <c:formatCode>0.00%</c:formatCode>
                <c:ptCount val="1"/>
                <c:pt idx="0">
                  <c:v>0.21271929824561403</c:v>
                </c:pt>
              </c:numCache>
            </c:numRef>
          </c:val>
        </c:ser>
        <c:ser>
          <c:idx val="3"/>
          <c:order val="3"/>
          <c:tx>
            <c:strRef>
              <c:f>'Valoració Global'!$Q$7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0681930606024226"/>
                  <c:y val="9.7065053609371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'Valoració Global'!$M$8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'Valoració Global'!$Q$8</c:f>
              <c:numCache>
                <c:formatCode>0.00%</c:formatCode>
                <c:ptCount val="1"/>
                <c:pt idx="0">
                  <c:v>0.46600877192982454</c:v>
                </c:pt>
              </c:numCache>
            </c:numRef>
          </c:val>
        </c:ser>
        <c:ser>
          <c:idx val="4"/>
          <c:order val="4"/>
          <c:tx>
            <c:strRef>
              <c:f>'Valoració Global'!$R$7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0057166661963205E-2"/>
                  <c:y val="9.7065053609371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'Valoració Global'!$M$8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'Valoració Global'!$R$8</c:f>
              <c:numCache>
                <c:formatCode>0.00%</c:formatCode>
                <c:ptCount val="1"/>
                <c:pt idx="0">
                  <c:v>0.23355263157894737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121129984"/>
        <c:axId val="121172736"/>
      </c:barChart>
      <c:catAx>
        <c:axId val="121129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1172736"/>
        <c:crosses val="autoZero"/>
        <c:auto val="1"/>
        <c:lblAlgn val="ctr"/>
        <c:lblOffset val="100"/>
        <c:noMultiLvlLbl val="0"/>
      </c:catAx>
      <c:valAx>
        <c:axId val="121172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121129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207158451757711"/>
          <c:y val="0.59322877013856845"/>
          <c:w val="0.60441191136765859"/>
          <c:h val="0.10030705736160474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>
                <a:solidFill>
                  <a:schemeClr val="tx2"/>
                </a:solidFill>
              </a:rPr>
              <a:t>Opinió dels vinculats a la UPC / </a:t>
            </a:r>
            <a:r>
              <a:rPr lang="en-US" sz="1400" b="1" i="1" baseline="0">
                <a:solidFill>
                  <a:schemeClr val="tx2"/>
                </a:solidFill>
              </a:rPr>
              <a:t> Opinió dels vinculats a la UPC</a:t>
            </a:r>
            <a:endParaRPr lang="en-US" sz="1400" b="1" i="0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6299533391659388"/>
          <c:y val="7.1485147667872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592592592592617"/>
          <c:y val="0.20738555171165482"/>
          <c:w val="0.6537037037037039"/>
          <c:h val="0.564543645741287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'Valoració Global'!$T$22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'Valoració Global'!$T$23</c:f>
              <c:numCache>
                <c:formatCode>General</c:formatCode>
                <c:ptCount val="1"/>
                <c:pt idx="0">
                  <c:v>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1"/>
        <c:axId val="120813824"/>
        <c:axId val="120819712"/>
      </c:barChart>
      <c:catAx>
        <c:axId val="120813824"/>
        <c:scaling>
          <c:orientation val="minMax"/>
        </c:scaling>
        <c:delete val="1"/>
        <c:axPos val="l"/>
        <c:majorTickMark val="out"/>
        <c:minorTickMark val="none"/>
        <c:tickLblPos val="none"/>
        <c:crossAx val="120819712"/>
        <c:crosses val="autoZero"/>
        <c:auto val="1"/>
        <c:lblAlgn val="ctr"/>
        <c:lblOffset val="100"/>
        <c:noMultiLvlLbl val="0"/>
      </c:catAx>
      <c:valAx>
        <c:axId val="12081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081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>
                <a:solidFill>
                  <a:schemeClr val="tx2"/>
                </a:solidFill>
              </a:rPr>
              <a:t>7.1 A quina institució esteu vinculats professionalment? </a:t>
            </a:r>
          </a:p>
          <a:p>
            <a:pPr>
              <a:defRPr sz="1100"/>
            </a:pPr>
            <a:r>
              <a:rPr lang="es-ES" sz="1100">
                <a:solidFill>
                  <a:schemeClr val="tx2"/>
                </a:solidFill>
              </a:rPr>
              <a:t>¿</a:t>
            </a:r>
            <a:r>
              <a:rPr lang="es-ES" sz="1100" i="1">
                <a:solidFill>
                  <a:schemeClr val="tx2"/>
                </a:solidFill>
              </a:rPr>
              <a:t>A qué institución está vinculado profesionalmente?</a:t>
            </a:r>
            <a:endParaRPr lang="es-ES" sz="11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927192670789926"/>
          <c:y val="3.7436971539549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7599123731580825"/>
          <c:y val="0.23143637709879186"/>
          <c:w val="0.6009116498232997"/>
          <c:h val="0.675249220160034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E023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'Dades personals i acadèmiques'!$N$8:$T$8</c:f>
              <c:strCache>
                <c:ptCount val="7"/>
                <c:pt idx="0">
                  <c:v>UPC</c:v>
                </c:pt>
                <c:pt idx="1">
                  <c:v>Altres unis</c:v>
                </c:pt>
                <c:pt idx="2">
                  <c:v>Administració</c:v>
                </c:pt>
                <c:pt idx="3">
                  <c:v>Centre de recerca</c:v>
                </c:pt>
                <c:pt idx="4">
                  <c:v>Empresa provada</c:v>
                </c:pt>
                <c:pt idx="5">
                  <c:v>Cap</c:v>
                </c:pt>
                <c:pt idx="6">
                  <c:v>Altres</c:v>
                </c:pt>
              </c:strCache>
            </c:strRef>
          </c:cat>
          <c:val>
            <c:numRef>
              <c:f>'Dades personals i acadèmiques'!$N$9:$T$9</c:f>
              <c:numCache>
                <c:formatCode>General</c:formatCode>
                <c:ptCount val="7"/>
                <c:pt idx="0">
                  <c:v>444</c:v>
                </c:pt>
                <c:pt idx="1">
                  <c:v>113</c:v>
                </c:pt>
                <c:pt idx="2">
                  <c:v>21</c:v>
                </c:pt>
                <c:pt idx="3">
                  <c:v>70</c:v>
                </c:pt>
                <c:pt idx="4">
                  <c:v>95</c:v>
                </c:pt>
                <c:pt idx="5">
                  <c:v>84</c:v>
                </c:pt>
                <c:pt idx="6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120995840"/>
        <c:axId val="120997376"/>
      </c:barChart>
      <c:catAx>
        <c:axId val="120995840"/>
        <c:scaling>
          <c:orientation val="maxMin"/>
        </c:scaling>
        <c:delete val="1"/>
        <c:axPos val="l"/>
        <c:majorTickMark val="out"/>
        <c:minorTickMark val="none"/>
        <c:tickLblPos val="none"/>
        <c:crossAx val="120997376"/>
        <c:crosses val="autoZero"/>
        <c:auto val="1"/>
        <c:lblAlgn val="ctr"/>
        <c:lblOffset val="100"/>
        <c:noMultiLvlLbl val="0"/>
      </c:catAx>
      <c:valAx>
        <c:axId val="1209973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20995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>
                <a:solidFill>
                  <a:schemeClr val="tx2"/>
                </a:solidFill>
              </a:rPr>
              <a:t>7.1.1 Els</a:t>
            </a:r>
            <a:r>
              <a:rPr lang="es-ES" sz="1100" baseline="0">
                <a:solidFill>
                  <a:schemeClr val="tx2"/>
                </a:solidFill>
              </a:rPr>
              <a:t> vinculats a la UPC, quina tasca desenvolupeu a la universitat?</a:t>
            </a:r>
          </a:p>
          <a:p>
            <a:pPr>
              <a:defRPr sz="1100"/>
            </a:pPr>
            <a:r>
              <a:rPr lang="es-ES" sz="1100" baseline="0">
                <a:solidFill>
                  <a:schemeClr val="tx2"/>
                </a:solidFill>
              </a:rPr>
              <a:t> </a:t>
            </a:r>
            <a:r>
              <a:rPr lang="es-ES" sz="1100" i="1" baseline="0">
                <a:solidFill>
                  <a:schemeClr val="tx2"/>
                </a:solidFill>
              </a:rPr>
              <a:t>Los vinculados a la UPC, ¿qué tarea desarrollan en la universidad?</a:t>
            </a:r>
            <a:endParaRPr lang="es-ES" sz="1100" i="1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4767056696047845"/>
          <c:y val="4.57142857142857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955380577427854"/>
          <c:y val="0.18780952380952384"/>
          <c:w val="0.6073490813648299"/>
          <c:h val="0.7055238095238097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E0232"/>
              </a:solidFill>
            </c:spPr>
          </c:dPt>
          <c:dPt>
            <c:idx val="4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</c:dPt>
          <c:dLbls>
            <c:numFmt formatCode="General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'Dades personals i acadèmiques'!$N$23:$R$23</c:f>
              <c:strCache>
                <c:ptCount val="5"/>
                <c:pt idx="0">
                  <c:v>Com a professor/a</c:v>
                </c:pt>
                <c:pt idx="1">
                  <c:v>Com a investigador/a</c:v>
                </c:pt>
                <c:pt idx="2">
                  <c:v>Com a becari/a</c:v>
                </c:pt>
                <c:pt idx="3">
                  <c:v>Altres</c:v>
                </c:pt>
                <c:pt idx="4">
                  <c:v>Ns/Nc</c:v>
                </c:pt>
              </c:strCache>
            </c:strRef>
          </c:cat>
          <c:val>
            <c:numRef>
              <c:f>'Dades personals i acadèmiques'!$N$24:$R$24</c:f>
              <c:numCache>
                <c:formatCode>General</c:formatCode>
                <c:ptCount val="5"/>
                <c:pt idx="0">
                  <c:v>99</c:v>
                </c:pt>
                <c:pt idx="1">
                  <c:v>136</c:v>
                </c:pt>
                <c:pt idx="2">
                  <c:v>150</c:v>
                </c:pt>
                <c:pt idx="3">
                  <c:v>38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18016"/>
        <c:axId val="120919552"/>
      </c:barChart>
      <c:catAx>
        <c:axId val="120918016"/>
        <c:scaling>
          <c:orientation val="maxMin"/>
        </c:scaling>
        <c:delete val="1"/>
        <c:axPos val="l"/>
        <c:majorTickMark val="out"/>
        <c:minorTickMark val="none"/>
        <c:tickLblPos val="none"/>
        <c:crossAx val="120919552"/>
        <c:crosses val="autoZero"/>
        <c:auto val="1"/>
        <c:lblAlgn val="ctr"/>
        <c:lblOffset val="100"/>
        <c:noMultiLvlLbl val="0"/>
      </c:catAx>
      <c:valAx>
        <c:axId val="1209195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2091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>
                <a:solidFill>
                  <a:schemeClr val="tx2"/>
                </a:solidFill>
              </a:rPr>
              <a:t>7.3 Quin ha estat el </a:t>
            </a:r>
            <a:r>
              <a:rPr lang="es-ES" sz="1100" b="1" u="none">
                <a:solidFill>
                  <a:schemeClr val="tx2"/>
                </a:solidFill>
              </a:rPr>
              <a:t>principal motiu </a:t>
            </a:r>
            <a:r>
              <a:rPr lang="es-ES" sz="1100" b="1">
                <a:solidFill>
                  <a:schemeClr val="tx2"/>
                </a:solidFill>
              </a:rPr>
              <a:t>que us ha portat a realitzar els estudis de doctorat? </a:t>
            </a:r>
            <a:endParaRPr lang="es-ES" sz="1100" b="1" u="none">
              <a:solidFill>
                <a:schemeClr val="tx2"/>
              </a:solidFill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 i="1">
                <a:solidFill>
                  <a:schemeClr val="tx2"/>
                </a:solidFill>
              </a:rPr>
              <a:t>¿ Cuál ha sido el </a:t>
            </a:r>
            <a:r>
              <a:rPr lang="es-ES" sz="1100" b="1" i="1" u="none">
                <a:solidFill>
                  <a:schemeClr val="tx2"/>
                </a:solidFill>
              </a:rPr>
              <a:t>principal motivo </a:t>
            </a:r>
            <a:r>
              <a:rPr lang="es-ES" sz="1100" b="1" i="1">
                <a:solidFill>
                  <a:schemeClr val="tx2"/>
                </a:solidFill>
              </a:rPr>
              <a:t>que os ha llevado a realizar los estudios de doctorado?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857302118171683"/>
          <c:y val="0.27228070175438612"/>
          <c:w val="0.73690078037904161"/>
          <c:h val="0.6464635272391506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E0232"/>
              </a:solidFill>
            </c:spPr>
          </c:dPt>
          <c:dLbls>
            <c:numFmt formatCode="General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'Dades personals i acadèmiques'!$N$52:$Q$52</c:f>
              <c:strCache>
                <c:ptCount val="4"/>
                <c:pt idx="0">
                  <c:v>Prom dins</c:v>
                </c:pt>
                <c:pt idx="1">
                  <c:v>Prom fora</c:v>
                </c:pt>
                <c:pt idx="2">
                  <c:v>Completar</c:v>
                </c:pt>
                <c:pt idx="3">
                  <c:v>Fer investigacio</c:v>
                </c:pt>
              </c:strCache>
            </c:strRef>
          </c:cat>
          <c:val>
            <c:numRef>
              <c:f>'Dades personals i acadèmiques'!$N$53:$Q$53</c:f>
              <c:numCache>
                <c:formatCode>General</c:formatCode>
                <c:ptCount val="4"/>
                <c:pt idx="0">
                  <c:v>192</c:v>
                </c:pt>
                <c:pt idx="1">
                  <c:v>39</c:v>
                </c:pt>
                <c:pt idx="2">
                  <c:v>165</c:v>
                </c:pt>
                <c:pt idx="3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53856"/>
        <c:axId val="121512704"/>
      </c:barChart>
      <c:catAx>
        <c:axId val="120953856"/>
        <c:scaling>
          <c:orientation val="maxMin"/>
        </c:scaling>
        <c:delete val="1"/>
        <c:axPos val="l"/>
        <c:majorTickMark val="out"/>
        <c:minorTickMark val="none"/>
        <c:tickLblPos val="none"/>
        <c:crossAx val="121512704"/>
        <c:crosses val="autoZero"/>
        <c:auto val="1"/>
        <c:lblAlgn val="ctr"/>
        <c:lblOffset val="100"/>
        <c:noMultiLvlLbl val="0"/>
      </c:catAx>
      <c:valAx>
        <c:axId val="1215127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2095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>
                <a:solidFill>
                  <a:schemeClr val="tx2"/>
                </a:solidFill>
              </a:rPr>
              <a:t>7.4 Quin ha estat el </a:t>
            </a:r>
            <a:r>
              <a:rPr lang="es-ES" sz="1100" b="1" u="none">
                <a:solidFill>
                  <a:schemeClr val="tx2"/>
                </a:solidFill>
              </a:rPr>
              <a:t>motiu principal</a:t>
            </a:r>
            <a:r>
              <a:rPr lang="es-ES" sz="1100" b="1">
                <a:solidFill>
                  <a:schemeClr val="tx2"/>
                </a:solidFill>
              </a:rPr>
              <a:t> que us ha fet triar un programa de doctorat a la UPC?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 i="1">
                <a:solidFill>
                  <a:schemeClr val="tx2"/>
                </a:solidFill>
              </a:rPr>
              <a:t>¿ Cuál ha sido el </a:t>
            </a:r>
            <a:r>
              <a:rPr lang="es-ES" sz="1100" b="1" i="1" u="none">
                <a:solidFill>
                  <a:schemeClr val="tx2"/>
                </a:solidFill>
              </a:rPr>
              <a:t>motivo principal </a:t>
            </a:r>
            <a:r>
              <a:rPr lang="es-ES" sz="1100" b="1" i="1">
                <a:solidFill>
                  <a:schemeClr val="tx2"/>
                </a:solidFill>
              </a:rPr>
              <a:t>que os ha llevado a escoger un programa de doctorado en la UPC? </a:t>
            </a:r>
          </a:p>
        </c:rich>
      </c:tx>
      <c:layout>
        <c:manualLayout>
          <c:xMode val="edge"/>
          <c:yMode val="edge"/>
          <c:x val="0.14065766026738297"/>
          <c:y val="1.3039934800325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419359369376485"/>
          <c:y val="0.22402607986960066"/>
          <c:w val="0.66344297263845387"/>
          <c:h val="0.7042542787286063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E0232"/>
              </a:solidFill>
            </c:spPr>
          </c:dPt>
          <c:dPt>
            <c:idx val="4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'Dades personals i acadèmiques'!$N$72:$R$72</c:f>
              <c:strCache>
                <c:ptCount val="5"/>
                <c:pt idx="0">
                  <c:v>Unica unv</c:v>
                </c:pt>
                <c:pt idx="1">
                  <c:v>Ser titulat UPC</c:v>
                </c:pt>
                <c:pt idx="2">
                  <c:v>Prestigi UPC</c:v>
                </c:pt>
                <c:pt idx="3">
                  <c:v>Proximitat</c:v>
                </c:pt>
                <c:pt idx="4">
                  <c:v>Teballar Upc</c:v>
                </c:pt>
              </c:strCache>
            </c:strRef>
          </c:cat>
          <c:val>
            <c:numRef>
              <c:f>'Dades personals i acadèmiques'!$N$73:$R$73</c:f>
              <c:numCache>
                <c:formatCode>General</c:formatCode>
                <c:ptCount val="5"/>
                <c:pt idx="0">
                  <c:v>95</c:v>
                </c:pt>
                <c:pt idx="1">
                  <c:v>237</c:v>
                </c:pt>
                <c:pt idx="2">
                  <c:v>216</c:v>
                </c:pt>
                <c:pt idx="3">
                  <c:v>49</c:v>
                </c:pt>
                <c:pt idx="4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51872"/>
        <c:axId val="121561856"/>
      </c:barChart>
      <c:catAx>
        <c:axId val="121551872"/>
        <c:scaling>
          <c:orientation val="maxMin"/>
        </c:scaling>
        <c:delete val="1"/>
        <c:axPos val="l"/>
        <c:majorTickMark val="out"/>
        <c:minorTickMark val="none"/>
        <c:tickLblPos val="none"/>
        <c:crossAx val="121561856"/>
        <c:crosses val="autoZero"/>
        <c:auto val="1"/>
        <c:lblAlgn val="ctr"/>
        <c:lblOffset val="100"/>
        <c:noMultiLvlLbl val="0"/>
      </c:catAx>
      <c:valAx>
        <c:axId val="121561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2155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>
                <a:solidFill>
                  <a:schemeClr val="tx2"/>
                </a:solidFill>
              </a:rPr>
              <a:t>7.5 Aproximadament, quantes hores dediqueu a la setmana al doctorat fora de les hores d'assistència a classe? 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chemeClr val="tx2"/>
                </a:solidFill>
              </a:defRPr>
            </a:pPr>
            <a:r>
              <a:rPr lang="es-ES" sz="1100" b="1" i="1">
                <a:solidFill>
                  <a:schemeClr val="tx2"/>
                </a:solidFill>
              </a:rPr>
              <a:t>Aproximadamente, ¿cuantas horas a la semana dedica al doctorado fuera de las horas de asistencia a clase? </a:t>
            </a:r>
          </a:p>
        </c:rich>
      </c:tx>
      <c:layout>
        <c:manualLayout>
          <c:xMode val="edge"/>
          <c:yMode val="edge"/>
          <c:x val="0.10511885019347703"/>
          <c:y val="3.1578947368421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533996683250416"/>
          <c:y val="0.25866666666666682"/>
          <c:w val="0.71033720287451629"/>
          <c:h val="0.653614035087719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E0232"/>
              </a:solidFill>
            </c:spPr>
          </c:dPt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'Dades personals i acadèmiques'!$N$94:$Q$94</c:f>
              <c:strCache>
                <c:ptCount val="4"/>
                <c:pt idx="0">
                  <c:v>Menys de 10</c:v>
                </c:pt>
                <c:pt idx="1">
                  <c:v>De 10 a 20</c:v>
                </c:pt>
                <c:pt idx="2">
                  <c:v>De 20 a 30</c:v>
                </c:pt>
                <c:pt idx="3">
                  <c:v>Mes de 30</c:v>
                </c:pt>
              </c:strCache>
            </c:strRef>
          </c:cat>
          <c:val>
            <c:numRef>
              <c:f>'Dades personals i acadèmiques'!$N$95:$Q$95</c:f>
              <c:numCache>
                <c:formatCode>General</c:formatCode>
                <c:ptCount val="4"/>
                <c:pt idx="0">
                  <c:v>109</c:v>
                </c:pt>
                <c:pt idx="1">
                  <c:v>188</c:v>
                </c:pt>
                <c:pt idx="2">
                  <c:v>136</c:v>
                </c:pt>
                <c:pt idx="3">
                  <c:v>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05792"/>
        <c:axId val="122707328"/>
      </c:barChart>
      <c:catAx>
        <c:axId val="122705792"/>
        <c:scaling>
          <c:orientation val="maxMin"/>
        </c:scaling>
        <c:delete val="1"/>
        <c:axPos val="l"/>
        <c:majorTickMark val="out"/>
        <c:minorTickMark val="none"/>
        <c:tickLblPos val="nextTo"/>
        <c:crossAx val="122707328"/>
        <c:crosses val="autoZero"/>
        <c:auto val="1"/>
        <c:lblAlgn val="ctr"/>
        <c:lblOffset val="100"/>
        <c:noMultiLvlLbl val="0"/>
      </c:catAx>
      <c:valAx>
        <c:axId val="122707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2270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n-US" sz="1400">
                <a:solidFill>
                  <a:schemeClr val="tx2"/>
                </a:solidFill>
              </a:rPr>
              <a:t>Opinió</a:t>
            </a:r>
            <a:r>
              <a:rPr lang="en-US" sz="1400" baseline="0">
                <a:solidFill>
                  <a:schemeClr val="tx2"/>
                </a:solidFill>
              </a:rPr>
              <a:t> dels vinculats a la UPC / </a:t>
            </a:r>
            <a:r>
              <a:rPr lang="en-US" sz="1400" i="1" baseline="0">
                <a:solidFill>
                  <a:schemeClr val="tx2"/>
                </a:solidFill>
              </a:rPr>
              <a:t>Opinión de los vinculados a la UPC</a:t>
            </a:r>
            <a:endParaRPr lang="en-US" sz="1400">
              <a:solidFill>
                <a:schemeClr val="tx2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3416048607270363"/>
          <c:y val="0.16460794670126722"/>
          <c:w val="0.5234998603740596"/>
          <c:h val="0.57636604095536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'Fase de formació'!$S$30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'Fase de formació'!$M$31:$M$32</c:f>
              <c:strCache>
                <c:ptCount val="2"/>
                <c:pt idx="0">
                  <c:v>1.1.1 Els cursos del període de formació (màster són d'interès per a la meva activitat de recerca
Los cursos del periodo de formación (máster) son de interés para mi actividad de investigación.</c:v>
                </c:pt>
                <c:pt idx="1">
                  <c:v>1.1.2 Els cursos del període de formació (màster) signifiquen un nivell formatiu superior als estudis previs que he cursat</c:v>
                </c:pt>
              </c:strCache>
            </c:strRef>
          </c:cat>
          <c:val>
            <c:numRef>
              <c:f>'Fase de formació'!$S$31:$S$32</c:f>
              <c:numCache>
                <c:formatCode>0.00</c:formatCode>
                <c:ptCount val="2"/>
                <c:pt idx="0">
                  <c:v>3.6440677966101696</c:v>
                </c:pt>
                <c:pt idx="1">
                  <c:v>3.3827586206896552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115778304"/>
        <c:axId val="115779840"/>
      </c:barChart>
      <c:catAx>
        <c:axId val="115778304"/>
        <c:scaling>
          <c:orientation val="maxMin"/>
        </c:scaling>
        <c:delete val="1"/>
        <c:axPos val="l"/>
        <c:majorTickMark val="out"/>
        <c:minorTickMark val="none"/>
        <c:tickLblPos val="none"/>
        <c:crossAx val="115779840"/>
        <c:crosses val="autoZero"/>
        <c:auto val="1"/>
        <c:lblAlgn val="ctr"/>
        <c:lblOffset val="100"/>
        <c:noMultiLvlLbl val="0"/>
      </c:catAx>
      <c:valAx>
        <c:axId val="11577984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577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r>
              <a:rPr lang="es-ES" sz="1050">
                <a:solidFill>
                  <a:schemeClr val="tx2"/>
                </a:solidFill>
              </a:rPr>
              <a:t>Penso que en l'orientació acadèmica del</a:t>
            </a:r>
            <a:r>
              <a:rPr lang="es-ES" sz="1050" baseline="0">
                <a:solidFill>
                  <a:schemeClr val="tx2"/>
                </a:solidFill>
              </a:rPr>
              <a:t> període de formació (màster) hi falten o sobren:</a:t>
            </a:r>
          </a:p>
          <a:p>
            <a:pPr>
              <a:defRPr sz="1050">
                <a:solidFill>
                  <a:schemeClr val="tx2"/>
                </a:solidFill>
              </a:defRPr>
            </a:pPr>
            <a:r>
              <a:rPr lang="es-ES" sz="1050" i="1" baseline="0">
                <a:solidFill>
                  <a:schemeClr val="tx2"/>
                </a:solidFill>
              </a:rPr>
              <a:t>Pienso que en la orientación académica del periodo de formación (máster) faltan o sobran:</a:t>
            </a:r>
            <a:endParaRPr lang="es-ES" sz="1050" i="1">
              <a:solidFill>
                <a:schemeClr val="tx2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215681763828688"/>
          <c:y val="9.705475810738981E-2"/>
          <c:w val="0.68627455824076611"/>
          <c:h val="0.814492735111764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'Fase de formació'!$O$45</c:f>
              <c:strCache>
                <c:ptCount val="1"/>
                <c:pt idx="0">
                  <c:v>Falta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'Fase de formació'!$N$46:$N$54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'Fase de formació'!$O$46:$O$54</c:f>
              <c:numCache>
                <c:formatCode>0</c:formatCode>
                <c:ptCount val="9"/>
                <c:pt idx="0">
                  <c:v>330</c:v>
                </c:pt>
                <c:pt idx="1">
                  <c:v>124</c:v>
                </c:pt>
                <c:pt idx="2">
                  <c:v>367</c:v>
                </c:pt>
                <c:pt idx="3">
                  <c:v>244</c:v>
                </c:pt>
                <c:pt idx="4">
                  <c:v>286</c:v>
                </c:pt>
                <c:pt idx="5">
                  <c:v>182</c:v>
                </c:pt>
                <c:pt idx="6">
                  <c:v>173</c:v>
                </c:pt>
                <c:pt idx="7">
                  <c:v>395</c:v>
                </c:pt>
                <c:pt idx="8">
                  <c:v>227</c:v>
                </c:pt>
              </c:numCache>
            </c:numRef>
          </c:val>
        </c:ser>
        <c:ser>
          <c:idx val="1"/>
          <c:order val="1"/>
          <c:tx>
            <c:strRef>
              <c:f>'Fase de formació'!$P$45</c:f>
              <c:strCache>
                <c:ptCount val="1"/>
                <c:pt idx="0">
                  <c:v>Sobra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'Fase de formació'!$N$46:$N$54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'Fase de formació'!$P$46:$P$54</c:f>
              <c:numCache>
                <c:formatCode>0</c:formatCode>
                <c:ptCount val="9"/>
                <c:pt idx="0">
                  <c:v>84</c:v>
                </c:pt>
                <c:pt idx="1">
                  <c:v>209</c:v>
                </c:pt>
                <c:pt idx="2">
                  <c:v>73</c:v>
                </c:pt>
                <c:pt idx="3">
                  <c:v>121</c:v>
                </c:pt>
                <c:pt idx="4">
                  <c:v>79</c:v>
                </c:pt>
                <c:pt idx="5">
                  <c:v>156</c:v>
                </c:pt>
                <c:pt idx="6">
                  <c:v>155</c:v>
                </c:pt>
                <c:pt idx="7">
                  <c:v>52</c:v>
                </c:pt>
                <c:pt idx="8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-22"/>
        <c:axId val="116949376"/>
        <c:axId val="116950912"/>
      </c:barChart>
      <c:catAx>
        <c:axId val="1169493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6950912"/>
        <c:crosses val="autoZero"/>
        <c:auto val="1"/>
        <c:lblAlgn val="ctr"/>
        <c:lblOffset val="100"/>
        <c:noMultiLvlLbl val="0"/>
      </c:catAx>
      <c:valAx>
        <c:axId val="116950912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11694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330702125875891"/>
          <c:y val="0.92466289326652595"/>
          <c:w val="0.15316059060899326"/>
          <c:h val="3.577232555708848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s-ES" sz="1400">
                <a:solidFill>
                  <a:schemeClr val="tx2"/>
                </a:solidFill>
              </a:rPr>
              <a:t>Opinió global / </a:t>
            </a:r>
            <a:r>
              <a:rPr lang="es-ES" sz="1400" i="1">
                <a:solidFill>
                  <a:schemeClr val="tx2"/>
                </a:solidFill>
              </a:rPr>
              <a:t>Opinión</a:t>
            </a:r>
            <a:r>
              <a:rPr lang="es-ES" sz="1400" i="1" baseline="0">
                <a:solidFill>
                  <a:schemeClr val="tx2"/>
                </a:solidFill>
              </a:rPr>
              <a:t> global</a:t>
            </a:r>
            <a:endParaRPr lang="es-ES" sz="14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32736182977127881"/>
          <c:y val="2.46002412373262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348736407949025"/>
          <c:y val="9.3768565191898481E-2"/>
          <c:w val="0.56659257592800893"/>
          <c:h val="0.6119165731648790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'Període de Recerca'!$O$12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365054368203978E-2"/>
                  <c:y val="-4.3651215090864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241169853768282E-2"/>
                  <c:y val="-4.55750278883945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671616047993998E-2"/>
                  <c:y val="-4.3115133669723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Recerca'!$N$13:$N$15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Recerca'!$O$13:$O$15</c:f>
              <c:numCache>
                <c:formatCode>0.00%</c:formatCode>
                <c:ptCount val="3"/>
                <c:pt idx="0">
                  <c:v>3.7158469945355189E-2</c:v>
                </c:pt>
                <c:pt idx="1">
                  <c:v>0.19774011299435029</c:v>
                </c:pt>
                <c:pt idx="2">
                  <c:v>4.2857142857142858E-2</c:v>
                </c:pt>
              </c:numCache>
            </c:numRef>
          </c:val>
        </c:ser>
        <c:ser>
          <c:idx val="1"/>
          <c:order val="1"/>
          <c:tx>
            <c:strRef>
              <c:f>'Període de Recerca'!$P$12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142857142857147E-2"/>
                  <c:y val="-4.3651215090864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047619047619053E-2"/>
                  <c:y val="-4.3115133669723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857142857142864E-2"/>
                  <c:y val="-4.3114930992437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Recerca'!$N$13:$N$15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Recerca'!$P$13:$P$15</c:f>
              <c:numCache>
                <c:formatCode>0.00%</c:formatCode>
                <c:ptCount val="3"/>
                <c:pt idx="0">
                  <c:v>7.3224043715846995E-2</c:v>
                </c:pt>
                <c:pt idx="1">
                  <c:v>0.16158192090395479</c:v>
                </c:pt>
                <c:pt idx="2">
                  <c:v>4.5054945054945054E-2</c:v>
                </c:pt>
              </c:numCache>
            </c:numRef>
          </c:val>
        </c:ser>
        <c:ser>
          <c:idx val="2"/>
          <c:order val="2"/>
          <c:tx>
            <c:strRef>
              <c:f>'Període de Recerca'!$Q$12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7142857142857147E-2"/>
                  <c:y val="-4.622521662148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57142857142864E-2"/>
                  <c:y val="-4.557502788839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142857142857147E-2"/>
                  <c:y val="-4.5038946467253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Recerca'!$N$13:$N$15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Recerca'!$Q$13:$Q$15</c:f>
              <c:numCache>
                <c:formatCode>0.00%</c:formatCode>
                <c:ptCount val="3"/>
                <c:pt idx="0">
                  <c:v>0.15737704918032788</c:v>
                </c:pt>
                <c:pt idx="1">
                  <c:v>0.18192090395480226</c:v>
                </c:pt>
                <c:pt idx="2">
                  <c:v>0.12637362637362637</c:v>
                </c:pt>
              </c:numCache>
            </c:numRef>
          </c:val>
        </c:ser>
        <c:ser>
          <c:idx val="3"/>
          <c:order val="3"/>
          <c:tx>
            <c:strRef>
              <c:f>'Període de Recerca'!$R$12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9523809523809526E-2"/>
                  <c:y val="-5.0837138261580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476190476190483E-2"/>
                  <c:y val="-4.5038946467253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1904611923509569E-2"/>
                  <c:y val="-4.5689135200342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Recerca'!$N$13:$N$15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Recerca'!$R$13:$R$15</c:f>
              <c:numCache>
                <c:formatCode>0.00%</c:formatCode>
                <c:ptCount val="3"/>
                <c:pt idx="0">
                  <c:v>0.26775956284153007</c:v>
                </c:pt>
                <c:pt idx="1">
                  <c:v>0.2</c:v>
                </c:pt>
                <c:pt idx="2">
                  <c:v>0.23846153846153847</c:v>
                </c:pt>
              </c:numCache>
            </c:numRef>
          </c:val>
        </c:ser>
        <c:ser>
          <c:idx val="4"/>
          <c:order val="4"/>
          <c:tx>
            <c:strRef>
              <c:f>'Període de Recerca'!$S$12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0285714285714286"/>
                  <c:y val="-5.1487326994668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714285714285714E-2"/>
                  <c:y val="-4.8263136730961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761904761904763"/>
                  <c:y val="-5.125931504805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Recerca'!$N$13:$N$15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Recerca'!$S$13:$S$15</c:f>
              <c:numCache>
                <c:formatCode>0.00%</c:formatCode>
                <c:ptCount val="3"/>
                <c:pt idx="0">
                  <c:v>0.46448087431693991</c:v>
                </c:pt>
                <c:pt idx="1">
                  <c:v>0.25875706214689265</c:v>
                </c:pt>
                <c:pt idx="2">
                  <c:v>0.54725274725274731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119190656"/>
        <c:axId val="119192192"/>
      </c:barChart>
      <c:catAx>
        <c:axId val="11919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9192192"/>
        <c:crosses val="autoZero"/>
        <c:auto val="1"/>
        <c:lblAlgn val="ctr"/>
        <c:lblOffset val="100"/>
        <c:noMultiLvlLbl val="0"/>
      </c:catAx>
      <c:valAx>
        <c:axId val="11919219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919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18048743907012"/>
          <c:y val="0.74278671539569119"/>
          <c:w val="0.5885488864790106"/>
          <c:h val="7.5067151878983884E-2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n-US" sz="1400">
                <a:solidFill>
                  <a:schemeClr val="tx2"/>
                </a:solidFill>
              </a:rPr>
              <a:t>Opinió</a:t>
            </a:r>
            <a:r>
              <a:rPr lang="en-US" sz="1400" baseline="0">
                <a:solidFill>
                  <a:schemeClr val="tx2"/>
                </a:solidFill>
              </a:rPr>
              <a:t> dels vinculats a la UPC / </a:t>
            </a:r>
            <a:r>
              <a:rPr lang="en-US" sz="1400" i="1" baseline="0">
                <a:solidFill>
                  <a:schemeClr val="tx2"/>
                </a:solidFill>
              </a:rPr>
              <a:t> Opinión de los vinculados a la UPC</a:t>
            </a:r>
            <a:endParaRPr lang="en-US" sz="1400">
              <a:solidFill>
                <a:schemeClr val="tx2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7986704653371328"/>
          <c:y val="0.11042283657558546"/>
          <c:w val="0.59924026590693236"/>
          <c:h val="0.753733855523408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'Període de Recerca'!$U$42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'Període de Recerca'!$O$43:$O$45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'Període de Recerca'!$U$43:$U$45</c:f>
              <c:numCache>
                <c:formatCode>0.00</c:formatCode>
                <c:ptCount val="3"/>
                <c:pt idx="0">
                  <c:v>3.9700748129675811</c:v>
                </c:pt>
                <c:pt idx="1">
                  <c:v>3.5139240506329115</c:v>
                </c:pt>
                <c:pt idx="2">
                  <c:v>4.3316582914572868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5"/>
        <c:axId val="118924800"/>
        <c:axId val="118926336"/>
      </c:barChart>
      <c:catAx>
        <c:axId val="11892480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8926336"/>
        <c:crosses val="autoZero"/>
        <c:auto val="1"/>
        <c:lblAlgn val="ctr"/>
        <c:lblOffset val="100"/>
        <c:noMultiLvlLbl val="0"/>
      </c:catAx>
      <c:valAx>
        <c:axId val="11892633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892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s-ES" sz="1400">
                <a:solidFill>
                  <a:schemeClr val="tx2"/>
                </a:solidFill>
              </a:rPr>
              <a:t>Opinió global / </a:t>
            </a:r>
            <a:r>
              <a:rPr lang="es-ES" sz="1400" i="1">
                <a:solidFill>
                  <a:schemeClr val="tx2"/>
                </a:solidFill>
              </a:rPr>
              <a:t>Opinión global</a:t>
            </a:r>
            <a:endParaRPr lang="es-ES" sz="1400">
              <a:solidFill>
                <a:schemeClr val="tx2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1886400724732126"/>
          <c:y val="5.6276704314150681E-2"/>
          <c:w val="0.53713301462317342"/>
          <c:h val="0.731920554610581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'Periode de recerca (Elab. Tesi)'!$N$10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0334236675700084E-3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200542005420054E-3"/>
                  <c:y val="-4.110993191451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40108401084025E-2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840108401084025E-2"/>
                  <c:y val="-4.1110220736649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267389340560104E-3"/>
                  <c:y val="-3.8962828157905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Tesi)'!$M$11:$M$15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Tesi)'!$N$11:$N$15</c:f>
              <c:numCache>
                <c:formatCode>0.00%</c:formatCode>
                <c:ptCount val="5"/>
                <c:pt idx="0">
                  <c:v>4.0236686390532544E-2</c:v>
                </c:pt>
                <c:pt idx="1">
                  <c:v>8.1364829396325458E-2</c:v>
                </c:pt>
                <c:pt idx="2">
                  <c:v>3.8352272727272728E-2</c:v>
                </c:pt>
                <c:pt idx="3">
                  <c:v>3.3573141486810551E-2</c:v>
                </c:pt>
                <c:pt idx="4">
                  <c:v>4.6838407494145202E-2</c:v>
                </c:pt>
              </c:numCache>
            </c:numRef>
          </c:val>
        </c:ser>
        <c:ser>
          <c:idx val="1"/>
          <c:order val="1"/>
          <c:tx>
            <c:strRef>
              <c:f>'Periode de recerca (Elab. Tesi)'!$O$10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646793134598013E-2"/>
                  <c:y val="-3.9275911352977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873532068654037E-2"/>
                  <c:y val="-3.958942778125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453477868112031E-2"/>
                  <c:y val="-3.9275911352977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100271002710053E-2"/>
                  <c:y val="-4.110978750344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267389340560104E-3"/>
                  <c:y val="-3.896297256897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Tesi)'!$M$11:$M$15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Tesi)'!$O$11:$O$15</c:f>
              <c:numCache>
                <c:formatCode>0.00%</c:formatCode>
                <c:ptCount val="5"/>
                <c:pt idx="0">
                  <c:v>7.8106508875739639E-2</c:v>
                </c:pt>
                <c:pt idx="1">
                  <c:v>0.16010498687664043</c:v>
                </c:pt>
                <c:pt idx="2">
                  <c:v>7.2443181818181823E-2</c:v>
                </c:pt>
                <c:pt idx="3">
                  <c:v>4.3165467625899283E-2</c:v>
                </c:pt>
                <c:pt idx="4">
                  <c:v>8.6651053864168617E-2</c:v>
                </c:pt>
              </c:numCache>
            </c:numRef>
          </c:val>
        </c:ser>
        <c:ser>
          <c:idx val="2"/>
          <c:order val="2"/>
          <c:tx>
            <c:strRef>
              <c:f>'Periode de recerca (Elab. Tesi)'!$P$10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646793134598079E-2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200542005420072E-2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680074543527602E-2"/>
                  <c:y val="-3.9275622530841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100271002710053E-2"/>
                  <c:y val="-3.9276055764045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0334236675700084E-3"/>
                  <c:y val="-3.851443179226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Tesi)'!$M$11:$M$15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Tesi)'!$P$11:$P$15</c:f>
              <c:numCache>
                <c:formatCode>0.00%</c:formatCode>
                <c:ptCount val="5"/>
                <c:pt idx="0">
                  <c:v>0.12781065088757396</c:v>
                </c:pt>
                <c:pt idx="1">
                  <c:v>0.27952755905511811</c:v>
                </c:pt>
                <c:pt idx="2">
                  <c:v>0.16477272727272727</c:v>
                </c:pt>
                <c:pt idx="3">
                  <c:v>0.10911270983213429</c:v>
                </c:pt>
                <c:pt idx="4">
                  <c:v>0.11556064073226545</c:v>
                </c:pt>
              </c:numCache>
            </c:numRef>
          </c:val>
        </c:ser>
        <c:ser>
          <c:idx val="3"/>
          <c:order val="3"/>
          <c:tx>
            <c:strRef>
              <c:f>'Periode de recerca (Elab. Tesi)'!$Q$10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747064137308039E-2"/>
                  <c:y val="-3.9276055764045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8780487804878141E-2"/>
                  <c:y val="-3.9589427781252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2267389340560081E-2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5167118337850053E-2"/>
                  <c:y val="-3.927620017511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6133694670280041E-2"/>
                  <c:y val="-4.034845235380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Tesi)'!$M$11:$M$15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Tesi)'!$Q$11:$Q$15</c:f>
              <c:numCache>
                <c:formatCode>0.00%</c:formatCode>
                <c:ptCount val="5"/>
                <c:pt idx="0">
                  <c:v>0.23786982248520711</c:v>
                </c:pt>
                <c:pt idx="1">
                  <c:v>0.26902887139107612</c:v>
                </c:pt>
                <c:pt idx="2">
                  <c:v>0.35795454545454547</c:v>
                </c:pt>
                <c:pt idx="3">
                  <c:v>0.25299760191846521</c:v>
                </c:pt>
                <c:pt idx="4">
                  <c:v>0.2219679633867277</c:v>
                </c:pt>
              </c:numCache>
            </c:numRef>
          </c:val>
        </c:ser>
        <c:ser>
          <c:idx val="4"/>
          <c:order val="4"/>
          <c:tx>
            <c:strRef>
              <c:f>'Periode de recerca (Elab. Tesi)'!$R$10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1743450767841018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520325203252036E-2"/>
                  <c:y val="-3.927620017511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58807588075881E-2"/>
                  <c:y val="-3.9276055764045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2646793134598031"/>
                  <c:y val="-3.927620017511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1562782294489611"/>
                  <c:y val="-4.034845235380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Tesi)'!$M$11:$M$15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Tesi)'!$R$11:$R$15</c:f>
              <c:numCache>
                <c:formatCode>0.00%</c:formatCode>
                <c:ptCount val="5"/>
                <c:pt idx="0">
                  <c:v>0.51597633136094678</c:v>
                </c:pt>
                <c:pt idx="1">
                  <c:v>0.20997375328083989</c:v>
                </c:pt>
                <c:pt idx="2">
                  <c:v>0.36647727272727271</c:v>
                </c:pt>
                <c:pt idx="3">
                  <c:v>0.5611510791366906</c:v>
                </c:pt>
                <c:pt idx="4">
                  <c:v>0.50915331807780317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107968"/>
        <c:axId val="119109504"/>
      </c:barChart>
      <c:catAx>
        <c:axId val="1191079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9109504"/>
        <c:crosses val="autoZero"/>
        <c:auto val="1"/>
        <c:lblAlgn val="ctr"/>
        <c:lblOffset val="100"/>
        <c:noMultiLvlLbl val="0"/>
      </c:catAx>
      <c:valAx>
        <c:axId val="11910950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9107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552695097509973"/>
          <c:y val="0.82423833283534009"/>
          <c:w val="0.5616314220885007"/>
          <c:h val="7.2100980305651804E-2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n-US" sz="1400">
                <a:solidFill>
                  <a:schemeClr val="tx2"/>
                </a:solidFill>
              </a:rPr>
              <a:t>Opinió dels vinculats a la UPC /  </a:t>
            </a:r>
            <a:r>
              <a:rPr lang="en-US" sz="1400" i="1">
                <a:solidFill>
                  <a:schemeClr val="tx2"/>
                </a:solidFill>
              </a:rPr>
              <a:t>Opinión de los vinculados a la UPC</a:t>
            </a:r>
          </a:p>
        </c:rich>
      </c:tx>
      <c:layout>
        <c:manualLayout>
          <c:xMode val="edge"/>
          <c:yMode val="edge"/>
          <c:x val="0.16242924831528679"/>
          <c:y val="2.77007700770077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142620232172503"/>
          <c:y val="7.5074476951552671E-2"/>
          <c:w val="0.60033167495854123"/>
          <c:h val="0.838074374366571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'Periode de recerca (Elab. Tesi)'!$V$48</c:f>
              <c:strCache>
                <c:ptCount val="1"/>
                <c:pt idx="0">
                  <c:v>Mitjana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</c:spPr>
          </c:dPt>
          <c:dLbls>
            <c:numFmt formatCode="#,##0.0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'Periode de recerca (Elab. Tesi)'!$P$49:$P$53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'Periode de recerca (Elab. Tesi)'!$V$49:$V$53</c:f>
              <c:numCache>
                <c:formatCode>0.00</c:formatCode>
                <c:ptCount val="5"/>
                <c:pt idx="0">
                  <c:v>4.2076923076923078</c:v>
                </c:pt>
                <c:pt idx="1">
                  <c:v>3.3743016759776538</c:v>
                </c:pt>
                <c:pt idx="2">
                  <c:v>3.9909090909090907</c:v>
                </c:pt>
                <c:pt idx="3">
                  <c:v>4.4025974025974026</c:v>
                </c:pt>
                <c:pt idx="4">
                  <c:v>4.1421319796954315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05280"/>
        <c:axId val="119506816"/>
      </c:barChart>
      <c:catAx>
        <c:axId val="11950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9506816"/>
        <c:crosses val="autoZero"/>
        <c:auto val="1"/>
        <c:lblAlgn val="ctr"/>
        <c:lblOffset val="100"/>
        <c:noMultiLvlLbl val="0"/>
      </c:catAx>
      <c:valAx>
        <c:axId val="1195068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1950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>
                <a:solidFill>
                  <a:schemeClr val="tx2"/>
                </a:solidFill>
              </a:rPr>
              <a:t>3.1.6</a:t>
            </a:r>
            <a:r>
              <a:rPr lang="es-ES" sz="1200" baseline="0">
                <a:solidFill>
                  <a:schemeClr val="tx2"/>
                </a:solidFill>
              </a:rPr>
              <a:t> </a:t>
            </a:r>
            <a:r>
              <a:rPr lang="es-ES" sz="1200">
                <a:solidFill>
                  <a:schemeClr val="tx2"/>
                </a:solidFill>
              </a:rPr>
              <a:t>Ordeneu</a:t>
            </a:r>
            <a:r>
              <a:rPr lang="es-ES" sz="1200" baseline="0">
                <a:solidFill>
                  <a:schemeClr val="tx2"/>
                </a:solidFill>
              </a:rPr>
              <a:t> les opcions que utilitzeu per obtenir la informació especialitzada que requereix l'elaboració de la tesi / </a:t>
            </a:r>
            <a:r>
              <a:rPr lang="es-ES" sz="1200" b="1" i="1" baseline="0">
                <a:solidFill>
                  <a:schemeClr val="tx2"/>
                </a:solidFill>
              </a:rPr>
              <a:t>Ordenen las opciones que utilizan para obtener la infomación especializada que requiere la elaboración de la tesis</a:t>
            </a:r>
            <a:endParaRPr lang="es-ES" sz="12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0501595573934551"/>
          <c:y val="1.7400758303124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45622085009159"/>
          <c:y val="0.13909731168560269"/>
          <c:w val="0.88095784789491238"/>
          <c:h val="0.63052846582515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'Periode de recerca (Elab. Tesi)'!$Q$77</c:f>
              <c:strCache>
                <c:ptCount val="1"/>
                <c:pt idx="0">
                  <c:v>Segueixo orientacions del meu/meva director/a o d'altre professorat</c:v>
                </c:pt>
              </c:strCache>
            </c:strRef>
          </c:tx>
          <c:invertIfNegative val="0"/>
          <c:dLbls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'Periode de recerca (Elab. Tesi)'!$R$76:$V$76</c:f>
              <c:strCache>
                <c:ptCount val="5"/>
                <c:pt idx="0">
                  <c:v>1ª opció</c:v>
                </c:pt>
                <c:pt idx="1">
                  <c:v>2ª opció</c:v>
                </c:pt>
                <c:pt idx="2">
                  <c:v>3ª opció</c:v>
                </c:pt>
                <c:pt idx="3">
                  <c:v>4ª opció</c:v>
                </c:pt>
                <c:pt idx="4">
                  <c:v>5ª opció</c:v>
                </c:pt>
              </c:strCache>
            </c:strRef>
          </c:cat>
          <c:val>
            <c:numRef>
              <c:f>'Periode de recerca (Elab. Tesi)'!$R$77:$V$77</c:f>
              <c:numCache>
                <c:formatCode>0.00%</c:formatCode>
                <c:ptCount val="5"/>
                <c:pt idx="0">
                  <c:v>0.42219541616405309</c:v>
                </c:pt>
                <c:pt idx="1">
                  <c:v>0.17982989064398541</c:v>
                </c:pt>
                <c:pt idx="2">
                  <c:v>0.19527363184079602</c:v>
                </c:pt>
                <c:pt idx="3">
                  <c:v>0.16279069767441862</c:v>
                </c:pt>
                <c:pt idx="4">
                  <c:v>3.7593984962406013E-2</c:v>
                </c:pt>
              </c:numCache>
            </c:numRef>
          </c:val>
        </c:ser>
        <c:ser>
          <c:idx val="1"/>
          <c:order val="1"/>
          <c:tx>
            <c:strRef>
              <c:f>'Periode de recerca (Elab. Tesi)'!$Q$78</c:f>
              <c:strCache>
                <c:ptCount val="1"/>
                <c:pt idx="0">
                  <c:v>Consulto catàlegs i bases de dades especialitzades</c:v>
                </c:pt>
              </c:strCache>
            </c:strRef>
          </c:tx>
          <c:invertIfNegative val="0"/>
          <c:dLbls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'Periode de recerca (Elab. Tesi)'!$R$76:$V$76</c:f>
              <c:strCache>
                <c:ptCount val="5"/>
                <c:pt idx="0">
                  <c:v>1ª opció</c:v>
                </c:pt>
                <c:pt idx="1">
                  <c:v>2ª opció</c:v>
                </c:pt>
                <c:pt idx="2">
                  <c:v>3ª opció</c:v>
                </c:pt>
                <c:pt idx="3">
                  <c:v>4ª opció</c:v>
                </c:pt>
                <c:pt idx="4">
                  <c:v>5ª opció</c:v>
                </c:pt>
              </c:strCache>
            </c:strRef>
          </c:cat>
          <c:val>
            <c:numRef>
              <c:f>'Periode de recerca (Elab. Tesi)'!$R$78:$V$78</c:f>
              <c:numCache>
                <c:formatCode>0.00%</c:formatCode>
                <c:ptCount val="5"/>
                <c:pt idx="0">
                  <c:v>0.20989143546441497</c:v>
                </c:pt>
                <c:pt idx="1">
                  <c:v>0.23329283110571081</c:v>
                </c:pt>
                <c:pt idx="2">
                  <c:v>0.26990049751243783</c:v>
                </c:pt>
                <c:pt idx="3">
                  <c:v>0.23255813953488372</c:v>
                </c:pt>
                <c:pt idx="4">
                  <c:v>3.6090225563909777E-2</c:v>
                </c:pt>
              </c:numCache>
            </c:numRef>
          </c:val>
        </c:ser>
        <c:ser>
          <c:idx val="2"/>
          <c:order val="2"/>
          <c:tx>
            <c:strRef>
              <c:f>'Periode de recerca (Elab. Tesi)'!$Q$79</c:f>
              <c:strCache>
                <c:ptCount val="1"/>
                <c:pt idx="0">
                  <c:v>Consulto a travès de cercadors d'Internet</c:v>
                </c:pt>
              </c:strCache>
            </c:strRef>
          </c:tx>
          <c:invertIfNegative val="0"/>
          <c:dLbls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'Periode de recerca (Elab. Tesi)'!$R$76:$V$76</c:f>
              <c:strCache>
                <c:ptCount val="5"/>
                <c:pt idx="0">
                  <c:v>1ª opció</c:v>
                </c:pt>
                <c:pt idx="1">
                  <c:v>2ª opció</c:v>
                </c:pt>
                <c:pt idx="2">
                  <c:v>3ª opció</c:v>
                </c:pt>
                <c:pt idx="3">
                  <c:v>4ª opció</c:v>
                </c:pt>
                <c:pt idx="4">
                  <c:v>5ª opció</c:v>
                </c:pt>
              </c:strCache>
            </c:strRef>
          </c:cat>
          <c:val>
            <c:numRef>
              <c:f>'Periode de recerca (Elab. Tesi)'!$R$79:$V$79</c:f>
              <c:numCache>
                <c:formatCode>0.00%</c:formatCode>
                <c:ptCount val="5"/>
                <c:pt idx="0">
                  <c:v>0.10856453558504221</c:v>
                </c:pt>
                <c:pt idx="1">
                  <c:v>0.20291616038882138</c:v>
                </c:pt>
                <c:pt idx="2">
                  <c:v>0.23631840796019901</c:v>
                </c:pt>
                <c:pt idx="3">
                  <c:v>0.42248062015503873</c:v>
                </c:pt>
                <c:pt idx="4">
                  <c:v>4.2105263157894736E-2</c:v>
                </c:pt>
              </c:numCache>
            </c:numRef>
          </c:val>
        </c:ser>
        <c:ser>
          <c:idx val="3"/>
          <c:order val="3"/>
          <c:tx>
            <c:strRef>
              <c:f>'Periode de recerca (Elab. Tesi)'!$Q$80</c:f>
              <c:strCache>
                <c:ptCount val="1"/>
                <c:pt idx="0">
                  <c:v>Consulto bibliografia citada en fonts d'informació que llegeixo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6.3948840927258175E-3"/>
                  <c:y val="0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tx2"/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'Periode de recerca (Elab. Tesi)'!$R$76:$V$76</c:f>
              <c:strCache>
                <c:ptCount val="5"/>
                <c:pt idx="0">
                  <c:v>1ª opció</c:v>
                </c:pt>
                <c:pt idx="1">
                  <c:v>2ª opció</c:v>
                </c:pt>
                <c:pt idx="2">
                  <c:v>3ª opció</c:v>
                </c:pt>
                <c:pt idx="3">
                  <c:v>4ª opció</c:v>
                </c:pt>
                <c:pt idx="4">
                  <c:v>5ª opció</c:v>
                </c:pt>
              </c:strCache>
            </c:strRef>
          </c:cat>
          <c:val>
            <c:numRef>
              <c:f>'Periode de recerca (Elab. Tesi)'!$R$80:$V$80</c:f>
              <c:numCache>
                <c:formatCode>0.00%</c:formatCode>
                <c:ptCount val="5"/>
                <c:pt idx="0">
                  <c:v>0.22798552472858866</c:v>
                </c:pt>
                <c:pt idx="1">
                  <c:v>0.37424058323207776</c:v>
                </c:pt>
                <c:pt idx="2">
                  <c:v>0.27363184079601988</c:v>
                </c:pt>
                <c:pt idx="3">
                  <c:v>0.11498708010335917</c:v>
                </c:pt>
                <c:pt idx="4">
                  <c:v>1.0526315789473684E-2</c:v>
                </c:pt>
              </c:numCache>
            </c:numRef>
          </c:val>
        </c:ser>
        <c:ser>
          <c:idx val="4"/>
          <c:order val="4"/>
          <c:tx>
            <c:strRef>
              <c:f>'Periode de recerca (Elab. Tesi)'!$Q$81</c:f>
              <c:strCache>
                <c:ptCount val="1"/>
                <c:pt idx="0">
                  <c:v>Altres</c:v>
                </c:pt>
              </c:strCache>
            </c:strRef>
          </c:tx>
          <c:invertIfNegative val="0"/>
          <c:dLbls>
            <c:dLbl>
              <c:idx val="1"/>
              <c:numFmt formatCode="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tx2"/>
                      </a:solidFill>
                    </a:defRPr>
                  </a:pPr>
                  <a:endParaRPr lang="ca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'Periode de recerca (Elab. Tesi)'!$R$76:$V$76</c:f>
              <c:strCache>
                <c:ptCount val="5"/>
                <c:pt idx="0">
                  <c:v>1ª opció</c:v>
                </c:pt>
                <c:pt idx="1">
                  <c:v>2ª opció</c:v>
                </c:pt>
                <c:pt idx="2">
                  <c:v>3ª opció</c:v>
                </c:pt>
                <c:pt idx="3">
                  <c:v>4ª opció</c:v>
                </c:pt>
                <c:pt idx="4">
                  <c:v>5ª opció</c:v>
                </c:pt>
              </c:strCache>
            </c:strRef>
          </c:cat>
          <c:val>
            <c:numRef>
              <c:f>'Periode de recerca (Elab. Tesi)'!$R$81:$V$81</c:f>
              <c:numCache>
                <c:formatCode>0.00%</c:formatCode>
                <c:ptCount val="5"/>
                <c:pt idx="0">
                  <c:v>3.1363088057901084E-2</c:v>
                </c:pt>
                <c:pt idx="1">
                  <c:v>9.7205346294046164E-3</c:v>
                </c:pt>
                <c:pt idx="2">
                  <c:v>2.4875621890547265E-2</c:v>
                </c:pt>
                <c:pt idx="3">
                  <c:v>6.7183462532299745E-2</c:v>
                </c:pt>
                <c:pt idx="4">
                  <c:v>0.87368421052631584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336320"/>
        <c:axId val="119350400"/>
      </c:barChart>
      <c:catAx>
        <c:axId val="1193363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ca-ES"/>
          </a:p>
        </c:txPr>
        <c:crossAx val="119350400"/>
        <c:crosses val="autoZero"/>
        <c:auto val="1"/>
        <c:lblAlgn val="ctr"/>
        <c:lblOffset val="100"/>
        <c:noMultiLvlLbl val="0"/>
      </c:catAx>
      <c:valAx>
        <c:axId val="11935040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933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485558010284698E-2"/>
          <c:y val="0.82400314720801771"/>
          <c:w val="0.94782492116542971"/>
          <c:h val="0.16294628406463924"/>
        </c:manualLayout>
      </c:layout>
      <c:overlay val="0"/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2"/>
                </a:solidFill>
              </a:defRPr>
            </a:pPr>
            <a:r>
              <a:rPr lang="es-ES" sz="1400">
                <a:solidFill>
                  <a:schemeClr val="tx2"/>
                </a:solidFill>
              </a:rPr>
              <a:t>Opinió global</a:t>
            </a:r>
            <a:r>
              <a:rPr lang="es-ES" sz="1400" baseline="0">
                <a:solidFill>
                  <a:schemeClr val="tx2"/>
                </a:solidFill>
              </a:rPr>
              <a:t> / </a:t>
            </a:r>
            <a:r>
              <a:rPr lang="es-ES" sz="1400" i="1" baseline="0">
                <a:solidFill>
                  <a:schemeClr val="tx2"/>
                </a:solidFill>
              </a:rPr>
              <a:t>Opinión global</a:t>
            </a:r>
            <a:endParaRPr lang="es-ES" sz="14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33511470985155217"/>
          <c:y val="2.150537634408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347278452541654"/>
          <c:y val="8.0156402737048063E-2"/>
          <c:w val="0.61673414304993268"/>
          <c:h val="0.7300431800863601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'Org. i Sup. Admin.'!$Q$6</c:f>
              <c:strCache>
                <c:ptCount val="1"/>
                <c:pt idx="0">
                  <c:v>1 - Molt en desacord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3981106612685558E-3"/>
                  <c:y val="-4.496578690127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3981106612685558E-3"/>
                  <c:y val="-4.301059874847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0589293747188478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Admin.'!$P$7:$P$10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Admin.'!$Q$7:$Q$10</c:f>
              <c:numCache>
                <c:formatCode>0.00%</c:formatCode>
                <c:ptCount val="4"/>
                <c:pt idx="0">
                  <c:v>8.771929824561403E-2</c:v>
                </c:pt>
                <c:pt idx="1">
                  <c:v>6.737967914438503E-2</c:v>
                </c:pt>
                <c:pt idx="2">
                  <c:v>7.73542600896861E-2</c:v>
                </c:pt>
                <c:pt idx="3">
                  <c:v>0.17826086956521739</c:v>
                </c:pt>
              </c:numCache>
            </c:numRef>
          </c:val>
        </c:ser>
        <c:ser>
          <c:idx val="1"/>
          <c:order val="1"/>
          <c:tx>
            <c:strRef>
              <c:f>'Org. i Sup. Admin.'!$R$6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592442645074247E-2"/>
                  <c:y val="-4.496578690127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9968511021142668E-3"/>
                  <c:y val="-4.496578690127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94331983805668E-2"/>
                  <c:y val="-4.692082111436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990553306342823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Admin.'!$P$7:$P$10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Admin.'!$R$7:$R$10</c:f>
              <c:numCache>
                <c:formatCode>0.00%</c:formatCode>
                <c:ptCount val="4"/>
                <c:pt idx="0">
                  <c:v>0.14473684210526316</c:v>
                </c:pt>
                <c:pt idx="1">
                  <c:v>0.10802139037433155</c:v>
                </c:pt>
                <c:pt idx="2">
                  <c:v>0.1311659192825112</c:v>
                </c:pt>
                <c:pt idx="3">
                  <c:v>0.16666666666666666</c:v>
                </c:pt>
              </c:numCache>
            </c:numRef>
          </c:val>
        </c:ser>
        <c:ser>
          <c:idx val="2"/>
          <c:order val="2"/>
          <c:tx>
            <c:strRef>
              <c:f>'Org. i Sup. Admin.'!$S$6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9379217273954107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3184885290148453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379217273954107E-2"/>
                  <c:y val="-4.4965786901270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78587494376956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Admin.'!$P$7:$P$10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Admin.'!$S$7:$S$10</c:f>
              <c:numCache>
                <c:formatCode>0.00%</c:formatCode>
                <c:ptCount val="4"/>
                <c:pt idx="0">
                  <c:v>0.26864035087719296</c:v>
                </c:pt>
                <c:pt idx="1">
                  <c:v>0.21818181818181817</c:v>
                </c:pt>
                <c:pt idx="2">
                  <c:v>0.27466367713004486</c:v>
                </c:pt>
                <c:pt idx="3">
                  <c:v>0.27826086956521739</c:v>
                </c:pt>
              </c:numCache>
            </c:numRef>
          </c:val>
        </c:ser>
        <c:ser>
          <c:idx val="3"/>
          <c:order val="3"/>
          <c:tx>
            <c:strRef>
              <c:f>'Org. i Sup. Admin.'!$T$6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9379217273954107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376068376068383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3981106612685514E-2"/>
                  <c:y val="-4.692082111436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786774628879943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Admin.'!$P$7:$P$10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Admin.'!$T$7:$T$10</c:f>
              <c:numCache>
                <c:formatCode>0.00%</c:formatCode>
                <c:ptCount val="4"/>
                <c:pt idx="0">
                  <c:v>0.27302631578947367</c:v>
                </c:pt>
                <c:pt idx="1">
                  <c:v>0.29732620320855613</c:v>
                </c:pt>
                <c:pt idx="2">
                  <c:v>0.25224215246636772</c:v>
                </c:pt>
                <c:pt idx="3">
                  <c:v>0.20434782608695654</c:v>
                </c:pt>
              </c:numCache>
            </c:numRef>
          </c:val>
        </c:ser>
        <c:ser>
          <c:idx val="4"/>
          <c:order val="4"/>
          <c:tx>
            <c:strRef>
              <c:f>'Org. i Sup. Admin.'!$U$6</c:f>
              <c:strCache>
                <c:ptCount val="1"/>
                <c:pt idx="0">
                  <c:v>5 - Molt d'acord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184885290148453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0175438596491224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379217273954107E-2"/>
                  <c:y val="-4.6920821114369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8789923526765657E-2"/>
                  <c:y val="-4.6920821114369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'Org. i Sup. Admin.'!$P$7:$P$10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'Org. i Sup. Admin.'!$U$7:$U$10</c:f>
              <c:numCache>
                <c:formatCode>0.00%</c:formatCode>
                <c:ptCount val="4"/>
                <c:pt idx="0">
                  <c:v>0.22587719298245615</c:v>
                </c:pt>
                <c:pt idx="1">
                  <c:v>0.30909090909090908</c:v>
                </c:pt>
                <c:pt idx="2">
                  <c:v>0.26457399103139012</c:v>
                </c:pt>
                <c:pt idx="3">
                  <c:v>0.17246376811594202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overlap val="100"/>
        <c:axId val="117024256"/>
        <c:axId val="117025792"/>
      </c:barChart>
      <c:catAx>
        <c:axId val="1170242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117025792"/>
        <c:crosses val="autoZero"/>
        <c:auto val="1"/>
        <c:lblAlgn val="ctr"/>
        <c:lblOffset val="100"/>
        <c:noMultiLvlLbl val="0"/>
      </c:catAx>
      <c:valAx>
        <c:axId val="11702579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1702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831482603136156"/>
          <c:y val="0.82583985652819858"/>
          <c:w val="0.51617272537289116"/>
          <c:h val="5.6858090685878354E-2"/>
        </c:manualLayout>
      </c:layout>
      <c:overlay val="0"/>
      <c:spPr>
        <a:ln>
          <a:solidFill>
            <a:schemeClr val="lt1">
              <a:shade val="50000"/>
            </a:schemeClr>
          </a:solidFill>
        </a:ln>
      </c:spPr>
      <c:txPr>
        <a:bodyPr/>
        <a:lstStyle/>
        <a:p>
          <a:pPr>
            <a:defRPr>
              <a:solidFill>
                <a:schemeClr val="tx2"/>
              </a:solidFill>
            </a:defRPr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85725</xdr:rowOff>
    </xdr:from>
    <xdr:to>
      <xdr:col>10</xdr:col>
      <xdr:colOff>228601</xdr:colOff>
      <xdr:row>23</xdr:row>
      <xdr:rowOff>180975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25</xdr:row>
      <xdr:rowOff>104774</xdr:rowOff>
    </xdr:from>
    <xdr:to>
      <xdr:col>10</xdr:col>
      <xdr:colOff>200026</xdr:colOff>
      <xdr:row>42</xdr:row>
      <xdr:rowOff>104775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247649</xdr:colOff>
      <xdr:row>44</xdr:row>
      <xdr:rowOff>66673</xdr:rowOff>
    </xdr:from>
    <xdr:to>
      <xdr:col>11</xdr:col>
      <xdr:colOff>28574</xdr:colOff>
      <xdr:row>78</xdr:row>
      <xdr:rowOff>9524</xdr:rowOff>
    </xdr:to>
    <xdr:graphicFrame macro="">
      <xdr:nvGraphicFramePr>
        <xdr:cNvPr id="4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400049</xdr:colOff>
      <xdr:row>50</xdr:row>
      <xdr:rowOff>152400</xdr:rowOff>
    </xdr:from>
    <xdr:to>
      <xdr:col>3</xdr:col>
      <xdr:colOff>285750</xdr:colOff>
      <xdr:row>53</xdr:row>
      <xdr:rowOff>47625</xdr:rowOff>
    </xdr:to>
    <xdr:sp macro="" textlink="">
      <xdr:nvSpPr>
        <xdr:cNvPr id="5" name="QuadreDeText 4"/>
        <xdr:cNvSpPr txBox="1"/>
      </xdr:nvSpPr>
      <xdr:spPr>
        <a:xfrm>
          <a:off x="400049" y="9296400"/>
          <a:ext cx="1714501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Cursos de matèries bàsiques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Cursos</a:t>
          </a:r>
          <a:r>
            <a:rPr lang="es-ES" sz="900" i="1" baseline="0">
              <a:solidFill>
                <a:schemeClr val="tx2"/>
              </a:solidFill>
            </a:rPr>
            <a:t> de materias básicas</a:t>
          </a:r>
          <a:endParaRPr lang="es-ES" sz="800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400050</xdr:colOff>
      <xdr:row>53</xdr:row>
      <xdr:rowOff>161926</xdr:rowOff>
    </xdr:from>
    <xdr:to>
      <xdr:col>3</xdr:col>
      <xdr:colOff>304799</xdr:colOff>
      <xdr:row>56</xdr:row>
      <xdr:rowOff>9526</xdr:rowOff>
    </xdr:to>
    <xdr:sp macro="" textlink="">
      <xdr:nvSpPr>
        <xdr:cNvPr id="6" name="QuadreDeText 5"/>
        <xdr:cNvSpPr txBox="1"/>
      </xdr:nvSpPr>
      <xdr:spPr>
        <a:xfrm>
          <a:off x="400050" y="9877426"/>
          <a:ext cx="173354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Cursos d'especialització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Cursos de especialización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0.09241</cdr:y>
    </cdr:from>
    <cdr:to>
      <cdr:x>0.37515</cdr:x>
      <cdr:y>0.25743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66649" y="533402"/>
          <a:ext cx="2924206" cy="952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3.1.1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L'orientació rebuda i el suport per part del tutor/a per elegir el tema del projecte o proposta de tesi ha estat útil.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orienctación recibida y el apoyo por parte del tutor/a para elegir el tema del proyecto o la propuesta de tesis ha sido útil.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endParaRPr lang="es-ES" sz="11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0.00119</cdr:x>
      <cdr:y>0.92574</cdr:y>
    </cdr:from>
    <cdr:to>
      <cdr:x>0.96416</cdr:x>
      <cdr:y>0.99835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9508" y="5343524"/>
          <a:ext cx="7677206" cy="419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La mitjana de les valoracions</a:t>
          </a:r>
          <a:r>
            <a:rPr lang="es-ES" sz="900" baseline="0">
              <a:solidFill>
                <a:schemeClr val="tx2"/>
              </a:solidFill>
            </a:rPr>
            <a:t> de la pregunta va de 1 (molt en desacord) a 5 (molt d'acord)</a:t>
          </a:r>
        </a:p>
        <a:p xmlns:a="http://schemas.openxmlformats.org/drawingml/2006/main">
          <a:r>
            <a:rPr lang="es-ES" sz="900" i="1" baseline="0">
              <a:solidFill>
                <a:schemeClr val="tx2"/>
              </a:solidFill>
            </a:rPr>
            <a:t>La media ("mitjana") de las valoraciones de la pregunta va de 1 (muy en desacuerdo) a 5 (muy de acuerdo).</a:t>
          </a:r>
          <a:endParaRPr lang="es-ES" sz="900" i="1">
            <a:solidFill>
              <a:schemeClr val="tx2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1</xdr:row>
      <xdr:rowOff>104775</xdr:rowOff>
    </xdr:from>
    <xdr:to>
      <xdr:col>12</xdr:col>
      <xdr:colOff>152399</xdr:colOff>
      <xdr:row>35</xdr:row>
      <xdr:rowOff>123825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</xdr:row>
      <xdr:rowOff>85725</xdr:rowOff>
    </xdr:from>
    <xdr:to>
      <xdr:col>4</xdr:col>
      <xdr:colOff>485775</xdr:colOff>
      <xdr:row>9</xdr:row>
      <xdr:rowOff>171450</xdr:rowOff>
    </xdr:to>
    <xdr:sp macro="" textlink="">
      <xdr:nvSpPr>
        <xdr:cNvPr id="3" name="QuadreDeText 2"/>
        <xdr:cNvSpPr txBox="1"/>
      </xdr:nvSpPr>
      <xdr:spPr>
        <a:xfrm>
          <a:off x="533400" y="1038225"/>
          <a:ext cx="2390775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4.1 La informació i</a:t>
          </a:r>
          <a:r>
            <a:rPr lang="es-ES" sz="900" baseline="0">
              <a:solidFill>
                <a:schemeClr val="tx2"/>
              </a:solidFill>
            </a:rPr>
            <a:t> la orientació que vaig rebre en el procés d'admissió han estat útils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La información y la orientación que recibí en el proceso de admisión han sido útiles.</a:t>
          </a: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3,4</a:t>
          </a:r>
          <a:endParaRPr lang="es-ES" sz="9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466725</xdr:colOff>
      <xdr:row>23</xdr:row>
      <xdr:rowOff>114299</xdr:rowOff>
    </xdr:from>
    <xdr:to>
      <xdr:col>4</xdr:col>
      <xdr:colOff>523875</xdr:colOff>
      <xdr:row>29</xdr:row>
      <xdr:rowOff>85724</xdr:rowOff>
    </xdr:to>
    <xdr:sp macro="" textlink="">
      <xdr:nvSpPr>
        <xdr:cNvPr id="4" name="QuadreDeText 3"/>
        <xdr:cNvSpPr txBox="1"/>
      </xdr:nvSpPr>
      <xdr:spPr>
        <a:xfrm>
          <a:off x="466725" y="4495799"/>
          <a:ext cx="2495550" cy="1114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4.4 La informació i</a:t>
          </a:r>
          <a:r>
            <a:rPr lang="es-ES" sz="900" baseline="0">
              <a:solidFill>
                <a:schemeClr val="tx2"/>
              </a:solidFill>
            </a:rPr>
            <a:t> atenció que rebo de la Unitat d'Assessorament i Suport Laboral a la Recerca és adequada</a:t>
          </a:r>
        </a:p>
        <a:p>
          <a:pPr algn="ctr"/>
          <a:r>
            <a:rPr lang="es-ES" sz="900" b="0" i="1" baseline="0">
              <a:solidFill>
                <a:schemeClr val="tx2"/>
              </a:solidFill>
            </a:rPr>
            <a:t>La información y atención que recibo de la Unitat d'Assessorament i Suport Laboral a la Recerca es adecuada</a:t>
          </a: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3</a:t>
          </a:r>
          <a:endParaRPr lang="es-ES" sz="10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457200</xdr:colOff>
      <xdr:row>32</xdr:row>
      <xdr:rowOff>95250</xdr:rowOff>
    </xdr:from>
    <xdr:to>
      <xdr:col>12</xdr:col>
      <xdr:colOff>57150</xdr:colOff>
      <xdr:row>35</xdr:row>
      <xdr:rowOff>85725</xdr:rowOff>
    </xdr:to>
    <xdr:sp macro="" textlink="">
      <xdr:nvSpPr>
        <xdr:cNvPr id="5" name="QuadreDeText 4"/>
        <xdr:cNvSpPr txBox="1"/>
      </xdr:nvSpPr>
      <xdr:spPr>
        <a:xfrm>
          <a:off x="457200" y="6191250"/>
          <a:ext cx="691515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ES" sz="900">
              <a:solidFill>
                <a:schemeClr val="tx2"/>
              </a:solidFill>
            </a:rPr>
            <a:t>La mitjana de les valoracions de la pregunta va de </a:t>
          </a:r>
          <a:r>
            <a:rPr lang="es-ES" sz="900" b="1">
              <a:solidFill>
                <a:schemeClr val="tx2"/>
              </a:solidFill>
            </a:rPr>
            <a:t>1 (molt en desacord)</a:t>
          </a:r>
          <a:r>
            <a:rPr lang="es-ES" sz="900">
              <a:solidFill>
                <a:schemeClr val="tx2"/>
              </a:solidFill>
            </a:rPr>
            <a:t> a </a:t>
          </a:r>
          <a:r>
            <a:rPr lang="es-ES" sz="900" b="1">
              <a:solidFill>
                <a:schemeClr val="tx2"/>
              </a:solidFill>
            </a:rPr>
            <a:t>5 (molt d'acord)</a:t>
          </a:r>
          <a:r>
            <a:rPr lang="es-ES" sz="900">
              <a:solidFill>
                <a:schemeClr val="tx2"/>
              </a:solidFill>
            </a:rPr>
            <a:t>. Els percentatges representen el pes de les respostes.</a:t>
          </a:r>
          <a:r>
            <a:rPr lang="es-ES">
              <a:solidFill>
                <a:schemeClr val="tx2"/>
              </a:solidFill>
            </a:rPr>
            <a:t/>
          </a:r>
          <a:br>
            <a:rPr lang="es-ES">
              <a:solidFill>
                <a:schemeClr val="tx2"/>
              </a:solidFill>
            </a:rPr>
          </a:br>
          <a:r>
            <a:rPr lang="es-ES" sz="900" i="1">
              <a:solidFill>
                <a:schemeClr val="tx2"/>
              </a:solidFill>
            </a:rPr>
            <a:t>La media ("mitjana") de las valoraciones de la pregunta va de </a:t>
          </a:r>
          <a:r>
            <a:rPr lang="es-ES" sz="900" b="1" i="1">
              <a:solidFill>
                <a:schemeClr val="tx2"/>
              </a:solidFill>
            </a:rPr>
            <a:t>1 (muy en desacuerdo)</a:t>
          </a:r>
          <a:r>
            <a:rPr lang="es-ES" sz="900" i="1">
              <a:solidFill>
                <a:schemeClr val="tx2"/>
              </a:solidFill>
            </a:rPr>
            <a:t> a </a:t>
          </a:r>
          <a:r>
            <a:rPr lang="es-ES" sz="900" b="1" i="1">
              <a:solidFill>
                <a:schemeClr val="tx2"/>
              </a:solidFill>
            </a:rPr>
            <a:t>5 (muy de acuerdo)</a:t>
          </a:r>
          <a:r>
            <a:rPr lang="es-ES" sz="900" i="1">
              <a:solidFill>
                <a:schemeClr val="tx2"/>
              </a:solidFill>
            </a:rPr>
            <a:t>. Los porcentages representan el peso de las respuestas.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409575</xdr:colOff>
      <xdr:row>38</xdr:row>
      <xdr:rowOff>9525</xdr:rowOff>
    </xdr:from>
    <xdr:to>
      <xdr:col>12</xdr:col>
      <xdr:colOff>352425</xdr:colOff>
      <xdr:row>63</xdr:row>
      <xdr:rowOff>104775</xdr:rowOff>
    </xdr:to>
    <xdr:graphicFrame macro="">
      <xdr:nvGraphicFramePr>
        <xdr:cNvPr id="6" name="Gràfic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495300</xdr:colOff>
      <xdr:row>41</xdr:row>
      <xdr:rowOff>95250</xdr:rowOff>
    </xdr:from>
    <xdr:to>
      <xdr:col>5</xdr:col>
      <xdr:colOff>0</xdr:colOff>
      <xdr:row>45</xdr:row>
      <xdr:rowOff>66675</xdr:rowOff>
    </xdr:to>
    <xdr:sp macro="" textlink="">
      <xdr:nvSpPr>
        <xdr:cNvPr id="7" name="QuadreDeText 6"/>
        <xdr:cNvSpPr txBox="1"/>
      </xdr:nvSpPr>
      <xdr:spPr>
        <a:xfrm>
          <a:off x="495300" y="7905750"/>
          <a:ext cx="255270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4.1 La informació i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la orientació que vaig rebre en el procés d'admissió han estat útils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información y la orientación que recibí en el proceso de admisión han sido útiles.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495300</xdr:colOff>
      <xdr:row>50</xdr:row>
      <xdr:rowOff>190499</xdr:rowOff>
    </xdr:from>
    <xdr:to>
      <xdr:col>5</xdr:col>
      <xdr:colOff>76200</xdr:colOff>
      <xdr:row>56</xdr:row>
      <xdr:rowOff>9525</xdr:rowOff>
    </xdr:to>
    <xdr:sp macro="" textlink="">
      <xdr:nvSpPr>
        <xdr:cNvPr id="8" name="QuadreDeText 7"/>
        <xdr:cNvSpPr txBox="1"/>
      </xdr:nvSpPr>
      <xdr:spPr>
        <a:xfrm>
          <a:off x="495300" y="9715499"/>
          <a:ext cx="2628900" cy="962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4.3 La informació i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atenció que rebo del serveis tècnics i administratius a l'Oficina de Doctorat (Serveis Generals) és adequada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información y atención que recibo de los servicios técnicos i administrativos en la Oficina de Doctorado (Servicios Generales) es adecuada.</a:t>
          </a:r>
          <a:endParaRPr lang="es-ES" sz="900">
            <a:solidFill>
              <a:schemeClr val="tx2"/>
            </a:solidFill>
          </a:endParaRPr>
        </a:p>
        <a:p>
          <a:endParaRPr lang="es-ES" sz="1100"/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0.01754</cdr:x>
      <cdr:y>0.27713</cdr:y>
    </cdr:from>
    <cdr:to>
      <cdr:x>0.35897</cdr:x>
      <cdr:y>0.44282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123826" y="1800224"/>
          <a:ext cx="2409825" cy="1076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4.2 La informació i atenció que rebo per part dels serveis administratius al Departament,</a:t>
          </a:r>
          <a:r>
            <a:rPr lang="es-ES" sz="900" baseline="0">
              <a:solidFill>
                <a:schemeClr val="tx2"/>
              </a:solidFill>
            </a:rPr>
            <a:t> Institut o Centre és adequada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La información y atención que recibo por parte de los servicios administrativos en el Departamento, Instituto o Centro es adecuada.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3,7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0.01485</cdr:x>
      <cdr:y>0.45308</cdr:y>
    </cdr:from>
    <cdr:to>
      <cdr:x>0.35763</cdr:x>
      <cdr:y>0.6393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104808" y="2943225"/>
          <a:ext cx="2419350" cy="1209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4.3 La informació i</a:t>
          </a:r>
          <a:r>
            <a:rPr lang="es-ES" sz="900" baseline="0">
              <a:solidFill>
                <a:schemeClr val="tx2"/>
              </a:solidFill>
            </a:rPr>
            <a:t> atenció que rebo del serveis tècnics i administratius a l'Oficina de Doctorat (Serveis Generals) és adequada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La información y atención que recibo de los servicios técnicos i administrativos en la Oficina de Doctorado (Servicios Generales) es adecuada.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3,5</a:t>
          </a:r>
          <a:endParaRPr lang="es-ES" sz="900" b="1" i="1">
            <a:solidFill>
              <a:schemeClr val="tx2"/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0.01342</cdr:x>
      <cdr:y>0.28998</cdr:y>
    </cdr:from>
    <cdr:to>
      <cdr:x>0.37139</cdr:x>
      <cdr:y>0.50588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97437" y="1408636"/>
          <a:ext cx="2598138" cy="1048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4.2 La informació i atenció que rebo per part dels serveis administratius al Departament,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Institut o Centre és adequada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información y atención que recibo por parte de los servicios administrativos en el Departamento, Instituto o Centro es adecuada.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0.00656</cdr:x>
      <cdr:y>0.69845</cdr:y>
    </cdr:from>
    <cdr:to>
      <cdr:x>0.37927</cdr:x>
      <cdr:y>0.90319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47613" y="3392895"/>
          <a:ext cx="2705112" cy="994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4.4 La informació i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atenció que rebo de la Unitat d'Assessorament i Suport Laboral a la Recerca és adequada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 fontAlgn="base"/>
          <a:r>
            <a:rPr lang="es-ES" sz="900" b="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información y atención que recibo de la Unitat d'Assessorament i Suport Laboral a la Recerca es adecuada</a:t>
          </a:r>
        </a:p>
      </cdr:txBody>
    </cdr:sp>
  </cdr:relSizeAnchor>
  <cdr:relSizeAnchor xmlns:cdr="http://schemas.openxmlformats.org/drawingml/2006/chartDrawing">
    <cdr:from>
      <cdr:x>0.01003</cdr:x>
      <cdr:y>0.89608</cdr:y>
    </cdr:from>
    <cdr:to>
      <cdr:x>0.99248</cdr:x>
      <cdr:y>0.99804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76200" y="4352925"/>
          <a:ext cx="74676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La mitjana de les valoracions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de la pregunta va de 1 (molt en desacord) a 5 (molt d'acord)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media ("mitjana") de las valoraciones de la pregunta va de 1 (muy en desacuerdo) a 5 (muy de acuerdo).</a:t>
          </a:r>
          <a:endParaRPr lang="es-ES" sz="1200" i="1">
            <a:solidFill>
              <a:schemeClr val="tx2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171449</xdr:rowOff>
    </xdr:from>
    <xdr:to>
      <xdr:col>5</xdr:col>
      <xdr:colOff>542925</xdr:colOff>
      <xdr:row>38</xdr:row>
      <xdr:rowOff>161924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85724</xdr:colOff>
      <xdr:row>15</xdr:row>
      <xdr:rowOff>133350</xdr:rowOff>
    </xdr:from>
    <xdr:to>
      <xdr:col>2</xdr:col>
      <xdr:colOff>1228725</xdr:colOff>
      <xdr:row>21</xdr:row>
      <xdr:rowOff>0</xdr:rowOff>
    </xdr:to>
    <xdr:sp macro="" textlink="">
      <xdr:nvSpPr>
        <xdr:cNvPr id="3" name="QuadreDeText 2"/>
        <xdr:cNvSpPr txBox="1"/>
      </xdr:nvSpPr>
      <xdr:spPr>
        <a:xfrm>
          <a:off x="695324" y="4124325"/>
          <a:ext cx="2695576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5.2 Els</a:t>
          </a:r>
          <a:r>
            <a:rPr lang="es-ES" sz="900" baseline="0">
              <a:solidFill>
                <a:schemeClr val="tx2"/>
              </a:solidFill>
            </a:rPr>
            <a:t> recursos (mobiliari, equips de laboratori, material, etc.) que tinc al meu abast són els adequats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Los recursos (moviliario, equipos de laboratorio, material, etc.) que tengo a mi disposición son los adecuados</a:t>
          </a:r>
          <a:endParaRPr lang="es-ES" sz="1100" i="1" baseline="0">
            <a:solidFill>
              <a:schemeClr val="tx2"/>
            </a:solidFill>
          </a:endParaRP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3,6</a:t>
          </a:r>
          <a:endParaRPr lang="es-ES" sz="9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133350</xdr:colOff>
      <xdr:row>21</xdr:row>
      <xdr:rowOff>180974</xdr:rowOff>
    </xdr:from>
    <xdr:to>
      <xdr:col>2</xdr:col>
      <xdr:colOff>1323975</xdr:colOff>
      <xdr:row>26</xdr:row>
      <xdr:rowOff>9525</xdr:rowOff>
    </xdr:to>
    <xdr:sp macro="" textlink="">
      <xdr:nvSpPr>
        <xdr:cNvPr id="4" name="QuadreDeText 3"/>
        <xdr:cNvSpPr txBox="1"/>
      </xdr:nvSpPr>
      <xdr:spPr>
        <a:xfrm>
          <a:off x="742950" y="5314949"/>
          <a:ext cx="2743200" cy="781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5.3</a:t>
          </a:r>
          <a:r>
            <a:rPr lang="es-ES" sz="900" baseline="0">
              <a:solidFill>
                <a:schemeClr val="tx2"/>
              </a:solidFill>
            </a:rPr>
            <a:t> Els espais que tinc al meu abast són els apropiats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Los espacios que tengo a mi disposición son los adecuados.</a:t>
          </a: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3,7</a:t>
          </a:r>
          <a:endParaRPr lang="es-ES" sz="9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47624</xdr:colOff>
      <xdr:row>40</xdr:row>
      <xdr:rowOff>114300</xdr:rowOff>
    </xdr:from>
    <xdr:to>
      <xdr:col>5</xdr:col>
      <xdr:colOff>514350</xdr:colOff>
      <xdr:row>62</xdr:row>
      <xdr:rowOff>133350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43</xdr:row>
      <xdr:rowOff>161925</xdr:rowOff>
    </xdr:from>
    <xdr:to>
      <xdr:col>2</xdr:col>
      <xdr:colOff>1228725</xdr:colOff>
      <xdr:row>48</xdr:row>
      <xdr:rowOff>95250</xdr:rowOff>
    </xdr:to>
    <xdr:sp macro="" textlink="">
      <xdr:nvSpPr>
        <xdr:cNvPr id="6" name="QuadreDeText 5"/>
        <xdr:cNvSpPr txBox="1"/>
      </xdr:nvSpPr>
      <xdr:spPr>
        <a:xfrm>
          <a:off x="685800" y="9486900"/>
          <a:ext cx="2705100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5.2 Els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recursos (mobiliari, equips de laboratori, material, etc.) que tinc al meu abast són els adequats</a:t>
          </a:r>
          <a:endParaRPr lang="es-ES" sz="900">
            <a:solidFill>
              <a:schemeClr val="tx2"/>
            </a:solidFill>
          </a:endParaRPr>
        </a:p>
        <a:p>
          <a:pPr algn="ctr" fontAlgn="base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Los recursos (moviliario, equipos de laboratorio, material, etc.) que tengo a mi disposición son los adecuados</a:t>
          </a:r>
        </a:p>
      </xdr:txBody>
    </xdr:sp>
    <xdr:clientData/>
  </xdr:twoCellAnchor>
  <xdr:twoCellAnchor>
    <xdr:from>
      <xdr:col>1</xdr:col>
      <xdr:colOff>95250</xdr:colOff>
      <xdr:row>49</xdr:row>
      <xdr:rowOff>123825</xdr:rowOff>
    </xdr:from>
    <xdr:to>
      <xdr:col>2</xdr:col>
      <xdr:colOff>1266825</xdr:colOff>
      <xdr:row>53</xdr:row>
      <xdr:rowOff>66675</xdr:rowOff>
    </xdr:to>
    <xdr:sp macro="" textlink="">
      <xdr:nvSpPr>
        <xdr:cNvPr id="7" name="QuadreDeText 6"/>
        <xdr:cNvSpPr txBox="1"/>
      </xdr:nvSpPr>
      <xdr:spPr>
        <a:xfrm>
          <a:off x="704850" y="10591800"/>
          <a:ext cx="27241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5.3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Els espais que tinc al meu abast són els apropiats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Los espacios que tengo a mi disposición son los adecuados.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123824</xdr:colOff>
      <xdr:row>54</xdr:row>
      <xdr:rowOff>47625</xdr:rowOff>
    </xdr:from>
    <xdr:to>
      <xdr:col>2</xdr:col>
      <xdr:colOff>1285874</xdr:colOff>
      <xdr:row>59</xdr:row>
      <xdr:rowOff>28575</xdr:rowOff>
    </xdr:to>
    <xdr:sp macro="" textlink="">
      <xdr:nvSpPr>
        <xdr:cNvPr id="8" name="QuadreDeText 7"/>
        <xdr:cNvSpPr txBox="1"/>
      </xdr:nvSpPr>
      <xdr:spPr>
        <a:xfrm>
          <a:off x="733424" y="11468100"/>
          <a:ext cx="271462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5.4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El suport que he obtingut a les biblioteques de la UPC en la cerca i l'obtenció de documentació és l'òptim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El apoyo obtenido de las bibliotecas de la UPC en la localización y la obtención de documentación es óptimo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0.01222</cdr:x>
      <cdr:y>0.57328</cdr:y>
    </cdr:from>
    <cdr:to>
      <cdr:x>0.42382</cdr:x>
      <cdr:y>0.74397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84038" y="2943226"/>
          <a:ext cx="2830594" cy="87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5.4</a:t>
          </a:r>
          <a:r>
            <a:rPr lang="es-ES" sz="900" baseline="0">
              <a:solidFill>
                <a:schemeClr val="tx2"/>
              </a:solidFill>
            </a:rPr>
            <a:t> El suport que he obtingut a les biblioteques de la UPC en la cerca i l'obtenció de documentació és l'òptim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El apoyo obtenido de las bibliotecas de la UPC en la localización y la obtención de documentación es óptimo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4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0.00675</cdr:x>
      <cdr:y>0.85714</cdr:y>
    </cdr:from>
    <cdr:to>
      <cdr:x>0.9919</cdr:x>
      <cdr:y>0.98887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46420" y="4400551"/>
          <a:ext cx="6774926" cy="676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La mitjana de les valoracions de la pregunta va de </a:t>
          </a:r>
          <a:r>
            <a:rPr lang="es-ES" sz="900" b="1">
              <a:solidFill>
                <a:schemeClr val="tx2"/>
              </a:solidFill>
            </a:rPr>
            <a:t>1 (molt en desacord)</a:t>
          </a:r>
          <a:r>
            <a:rPr lang="es-ES" sz="900">
              <a:solidFill>
                <a:schemeClr val="tx2"/>
              </a:solidFill>
            </a:rPr>
            <a:t> a </a:t>
          </a:r>
          <a:r>
            <a:rPr lang="es-ES" sz="900" b="1">
              <a:solidFill>
                <a:schemeClr val="tx2"/>
              </a:solidFill>
            </a:rPr>
            <a:t>5 (molt d'acord)</a:t>
          </a:r>
          <a:r>
            <a:rPr lang="es-ES" sz="900">
              <a:solidFill>
                <a:schemeClr val="tx2"/>
              </a:solidFill>
            </a:rPr>
            <a:t>. Els percentatges representen el pes de les respostes.</a:t>
          </a:r>
          <a:r>
            <a:rPr lang="es-ES">
              <a:solidFill>
                <a:schemeClr val="tx2"/>
              </a:solidFill>
            </a:rPr>
            <a:t/>
          </a:r>
          <a:br>
            <a:rPr lang="es-ES">
              <a:solidFill>
                <a:schemeClr val="tx2"/>
              </a:solidFill>
            </a:rPr>
          </a:br>
          <a:r>
            <a:rPr lang="es-ES" sz="900" i="1">
              <a:solidFill>
                <a:schemeClr val="tx2"/>
              </a:solidFill>
            </a:rPr>
            <a:t>La media ("mitjana") de las valoraciones de la pregunta va de </a:t>
          </a:r>
          <a:r>
            <a:rPr lang="es-ES" sz="900" b="1" i="1">
              <a:solidFill>
                <a:schemeClr val="tx2"/>
              </a:solidFill>
            </a:rPr>
            <a:t>1 (muy en desacuerdo)</a:t>
          </a:r>
          <a:r>
            <a:rPr lang="es-ES" sz="900" i="1">
              <a:solidFill>
                <a:schemeClr val="tx2"/>
              </a:solidFill>
            </a:rPr>
            <a:t> a </a:t>
          </a:r>
          <a:r>
            <a:rPr lang="es-ES" sz="900" b="1" i="1">
              <a:solidFill>
                <a:schemeClr val="tx2"/>
              </a:solidFill>
            </a:rPr>
            <a:t>5 (muy de acuerdo)</a:t>
          </a:r>
          <a:r>
            <a:rPr lang="es-ES" sz="900" i="1">
              <a:solidFill>
                <a:schemeClr val="tx2"/>
              </a:solidFill>
            </a:rPr>
            <a:t>. Los porcentages representan el peso de las respuestas.</a:t>
          </a:r>
          <a:endParaRPr lang="es-ES" sz="1100">
            <a:solidFill>
              <a:schemeClr val="tx2"/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0.00833</cdr:x>
      <cdr:y>0.85973</cdr:y>
    </cdr:from>
    <cdr:to>
      <cdr:x>0.99028</cdr:x>
      <cdr:y>0.99095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57150" y="3619500"/>
          <a:ext cx="6734175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La mitjana de les valoracions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de la pregunta va de 1 (molt en desacord) a 5 (molt d'acord)</a:t>
          </a:r>
          <a:endParaRPr lang="es-ES" sz="900">
            <a:solidFill>
              <a:schemeClr val="tx2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algn="l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media ("mitjana") de las valoraciones de la pregunta va de 1 (muy en desacuerdo) a 5 (muy de acuerdo).</a:t>
          </a:r>
          <a:endParaRPr lang="es-ES" sz="900" i="1">
            <a:solidFill>
              <a:schemeClr val="tx2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1</xdr:row>
      <xdr:rowOff>57152</xdr:rowOff>
    </xdr:from>
    <xdr:to>
      <xdr:col>11</xdr:col>
      <xdr:colOff>523874</xdr:colOff>
      <xdr:row>17</xdr:row>
      <xdr:rowOff>38100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18</xdr:row>
      <xdr:rowOff>104774</xdr:rowOff>
    </xdr:from>
    <xdr:to>
      <xdr:col>11</xdr:col>
      <xdr:colOff>542925</xdr:colOff>
      <xdr:row>29</xdr:row>
      <xdr:rowOff>180975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0.02432</cdr:x>
      <cdr:y>0.21399</cdr:y>
    </cdr:from>
    <cdr:to>
      <cdr:x>0.39342</cdr:x>
      <cdr:y>0.5283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166323" y="648169"/>
          <a:ext cx="2524257" cy="952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6.1 La valoració</a:t>
          </a:r>
          <a:r>
            <a:rPr lang="es-ES" sz="900" baseline="0">
              <a:solidFill>
                <a:schemeClr val="tx2"/>
              </a:solidFill>
            </a:rPr>
            <a:t> global que faig del programa de doctorat és positiva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La valoración global que otorgo al programa de doctorado es positiva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3,83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0.00282</cdr:x>
      <cdr:y>0.77161</cdr:y>
    </cdr:from>
    <cdr:to>
      <cdr:x>0.98422</cdr:x>
      <cdr:y>0.99371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19305" y="2337179"/>
          <a:ext cx="6711746" cy="6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La mitjana de les valoracions de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la pregunta va de </a:t>
          </a:r>
          <a:r>
            <a:rPr lang="es-ES" sz="900" b="1" baseline="0">
              <a:solidFill>
                <a:schemeClr val="tx2"/>
              </a:solidFill>
              <a:latin typeface="+mn-lt"/>
              <a:ea typeface="+mn-ea"/>
              <a:cs typeface="+mn-cs"/>
            </a:rPr>
            <a:t>1 (molt en desacord) </a:t>
          </a:r>
          <a:r>
            <a:rPr lang="es-ES" sz="9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a </a:t>
          </a:r>
          <a:r>
            <a:rPr lang="es-ES" sz="900" b="1" baseline="0">
              <a:solidFill>
                <a:schemeClr val="tx2"/>
              </a:solidFill>
              <a:latin typeface="+mn-lt"/>
              <a:ea typeface="+mn-ea"/>
              <a:cs typeface="+mn-cs"/>
            </a:rPr>
            <a:t>5 (molt d'acord)</a:t>
          </a:r>
          <a:r>
            <a:rPr lang="es-ES" sz="900" b="0" baseline="0">
              <a:solidFill>
                <a:schemeClr val="tx2"/>
              </a:solidFill>
              <a:latin typeface="+mn-lt"/>
              <a:ea typeface="+mn-ea"/>
              <a:cs typeface="+mn-cs"/>
            </a:rPr>
            <a:t>. Els percentatges representen el pes de les respostes.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r>
            <a:rPr lang="es-ES" sz="900" b="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media ("mitjana") de las valoraciones de la pregunta va de </a:t>
          </a:r>
          <a:r>
            <a:rPr lang="es-ES" sz="900" b="1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1 (muy en desacuerdo) </a:t>
          </a:r>
          <a:r>
            <a:rPr lang="es-ES" sz="900" b="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a </a:t>
          </a:r>
          <a:r>
            <a:rPr lang="es-ES" sz="900" b="1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5 (muy de acuerdo)</a:t>
          </a:r>
          <a:r>
            <a:rPr lang="es-ES" sz="900" b="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. Los porcentages representan el peso de las respuestas.</a:t>
          </a:r>
          <a:endParaRPr lang="es-ES" sz="900" i="1">
            <a:solidFill>
              <a:schemeClr val="tx2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0.00278</cdr:x>
      <cdr:y>0.32563</cdr:y>
    </cdr:from>
    <cdr:to>
      <cdr:x>0.31944</cdr:x>
      <cdr:y>0.64926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19050" y="707176"/>
          <a:ext cx="2171700" cy="702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6.1 La valoració</a:t>
          </a:r>
          <a:r>
            <a:rPr lang="es-ES" sz="900" baseline="0">
              <a:solidFill>
                <a:schemeClr val="tx2"/>
              </a:solidFill>
            </a:rPr>
            <a:t> que faig del programa de doctorat és positiva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La valoración que hago del programa de doctorado es positiva</a:t>
          </a:r>
        </a:p>
      </cdr:txBody>
    </cdr:sp>
  </cdr:relSizeAnchor>
  <cdr:relSizeAnchor xmlns:cdr="http://schemas.openxmlformats.org/drawingml/2006/chartDrawing">
    <cdr:from>
      <cdr:x>0.00417</cdr:x>
      <cdr:y>0.81745</cdr:y>
    </cdr:from>
    <cdr:to>
      <cdr:x>0.79444</cdr:x>
      <cdr:y>0.99152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28575" y="1775249"/>
          <a:ext cx="5419725" cy="378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La mitjana de les valoracions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de la pregunta va de 1 (molt en desacord) a 5 (molt d'acord)</a:t>
          </a:r>
          <a:endParaRPr lang="es-ES" sz="900">
            <a:solidFill>
              <a:schemeClr val="tx2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La media ("mitjana") de las valoraciones de la pregunta va de 1 (muy en desacuerdo) a 5 (muy de acuerdo).</a:t>
          </a:r>
          <a:endParaRPr lang="es-ES" sz="900" i="1">
            <a:solidFill>
              <a:schemeClr val="tx2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0.05452</cdr:x>
      <cdr:y>0.81313</cdr:y>
    </cdr:from>
    <cdr:to>
      <cdr:x>0.97975</cdr:x>
      <cdr:y>1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333376" y="3067050"/>
          <a:ext cx="565785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0.03894</cdr:x>
      <cdr:y>0.80303</cdr:y>
    </cdr:from>
    <cdr:to>
      <cdr:x>0.97352</cdr:x>
      <cdr:y>0.93939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238126" y="3028950"/>
          <a:ext cx="57150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</cdr:x>
      <cdr:y>0.82663</cdr:y>
    </cdr:from>
    <cdr:to>
      <cdr:x>0.98131</cdr:x>
      <cdr:y>0.99756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0" y="3228197"/>
          <a:ext cx="6000761" cy="667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>
                  <a:lumMod val="75000"/>
                </a:schemeClr>
              </a:solidFill>
            </a:rPr>
            <a:t>La mitjana de les valoracions de la pregunta va de </a:t>
          </a:r>
          <a:r>
            <a:rPr lang="es-ES" sz="900" b="1">
              <a:solidFill>
                <a:schemeClr val="tx2">
                  <a:lumMod val="75000"/>
                </a:schemeClr>
              </a:solidFill>
            </a:rPr>
            <a:t>1 (molt en desacord)</a:t>
          </a:r>
          <a:r>
            <a:rPr lang="es-ES" sz="900">
              <a:solidFill>
                <a:schemeClr val="tx2">
                  <a:lumMod val="75000"/>
                </a:schemeClr>
              </a:solidFill>
            </a:rPr>
            <a:t> a </a:t>
          </a:r>
          <a:r>
            <a:rPr lang="es-ES" sz="900" b="1">
              <a:solidFill>
                <a:schemeClr val="tx2">
                  <a:lumMod val="75000"/>
                </a:schemeClr>
              </a:solidFill>
            </a:rPr>
            <a:t>5 (molt d'acord)</a:t>
          </a:r>
          <a:r>
            <a:rPr lang="es-ES" sz="900">
              <a:solidFill>
                <a:schemeClr val="tx2">
                  <a:lumMod val="75000"/>
                </a:schemeClr>
              </a:solidFill>
            </a:rPr>
            <a:t>. Els percentatges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representen el pes de les respostes.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i="1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La media ("mitjana") de las </a:t>
          </a:r>
          <a:r>
            <a:rPr lang="es-ES" sz="900" i="1">
              <a:solidFill>
                <a:schemeClr val="tx2"/>
              </a:solidFill>
              <a:latin typeface="+mn-lt"/>
              <a:ea typeface="+mn-ea"/>
              <a:cs typeface="+mn-cs"/>
            </a:rPr>
            <a:t>valoraciones</a:t>
          </a:r>
          <a:r>
            <a:rPr lang="es-ES" sz="9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 de la pregunta va de </a:t>
          </a:r>
          <a:r>
            <a:rPr lang="es-ES" sz="900" b="1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1 (Muy en desacuerdo) </a:t>
          </a:r>
          <a:r>
            <a:rPr lang="es-ES" sz="900" b="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a </a:t>
          </a:r>
          <a:r>
            <a:rPr lang="es-ES" sz="900" b="1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5 (muy de acuerdo)</a:t>
          </a:r>
          <a:r>
            <a:rPr lang="es-ES" sz="900" b="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. Los porcentajes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representan el peso de las resp</a:t>
          </a:r>
          <a:r>
            <a:rPr lang="es-ES" sz="900" i="1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uestas.</a:t>
          </a:r>
          <a:endParaRPr lang="es-ES" sz="900" i="1">
            <a:solidFill>
              <a:schemeClr val="tx2">
                <a:lumMod val="75000"/>
              </a:schemeClr>
            </a:solidFill>
          </a:endParaRPr>
        </a:p>
        <a:p xmlns:a="http://schemas.openxmlformats.org/drawingml/2006/main">
          <a:r>
            <a:rPr lang="es-ES" sz="1000"/>
            <a:t> </a:t>
          </a:r>
        </a:p>
      </cdr:txBody>
    </cdr:sp>
  </cdr:relSizeAnchor>
  <cdr:relSizeAnchor xmlns:cdr="http://schemas.openxmlformats.org/drawingml/2006/chartDrawing">
    <cdr:from>
      <cdr:x>0.04517</cdr:x>
      <cdr:y>0.16332</cdr:y>
    </cdr:from>
    <cdr:to>
      <cdr:x>0.4486</cdr:x>
      <cdr:y>0.68593</cdr:y>
    </cdr:to>
    <cdr:sp macro="" textlink="">
      <cdr:nvSpPr>
        <cdr:cNvPr id="5" name="QuadreDeText 4"/>
        <cdr:cNvSpPr txBox="1"/>
      </cdr:nvSpPr>
      <cdr:spPr>
        <a:xfrm xmlns:a="http://schemas.openxmlformats.org/drawingml/2006/main">
          <a:off x="276225" y="619125"/>
          <a:ext cx="2466975" cy="1981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1.1.1</a:t>
          </a:r>
          <a:r>
            <a:rPr lang="es-ES" sz="900" baseline="0">
              <a:solidFill>
                <a:schemeClr val="tx2"/>
              </a:solidFill>
            </a:rPr>
            <a:t> Els cursos del període de formació (màster) són d'interès </a:t>
          </a:r>
          <a:r>
            <a:rPr lang="es-ES" sz="900" baseline="0">
              <a:solidFill>
                <a:schemeClr val="tx2">
                  <a:lumMod val="50000"/>
                </a:schemeClr>
              </a:solidFill>
            </a:rPr>
            <a:t>per</a:t>
          </a:r>
          <a:r>
            <a:rPr lang="es-ES" sz="900" baseline="0">
              <a:solidFill>
                <a:schemeClr val="tx2"/>
              </a:solidFill>
            </a:rPr>
            <a:t> a la meva activitat de recerca.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Los cursos del periodo de formación (máster) son d'interés para mi actividad de investigación.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3,6</a:t>
          </a:r>
        </a:p>
        <a:p xmlns:a="http://schemas.openxmlformats.org/drawingml/2006/main">
          <a:endParaRPr lang="es-ES" sz="800" i="1" baseline="0">
            <a:solidFill>
              <a:schemeClr val="tx2"/>
            </a:solidFill>
          </a:endParaRPr>
        </a:p>
        <a:p xmlns:a="http://schemas.openxmlformats.org/drawingml/2006/main">
          <a:endParaRPr lang="es-ES" sz="900" i="1" baseline="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0" baseline="0">
              <a:solidFill>
                <a:schemeClr val="tx2"/>
              </a:solidFill>
            </a:rPr>
            <a:t>1.1.2 Els cursos del període de formació (màster) signifiquen un nivell formatiu superior als estudis previs que he cursat.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Los cursos del periodo de formación (máster) significan un nivel formativo superior a los estudios previos que he cursado.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3,4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104774</xdr:rowOff>
    </xdr:from>
    <xdr:to>
      <xdr:col>8</xdr:col>
      <xdr:colOff>323850</xdr:colOff>
      <xdr:row>19</xdr:row>
      <xdr:rowOff>114300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9</xdr:row>
      <xdr:rowOff>0</xdr:rowOff>
    </xdr:from>
    <xdr:to>
      <xdr:col>2</xdr:col>
      <xdr:colOff>381000</xdr:colOff>
      <xdr:row>10</xdr:row>
      <xdr:rowOff>180975</xdr:rowOff>
    </xdr:to>
    <xdr:sp macro="" textlink="">
      <xdr:nvSpPr>
        <xdr:cNvPr id="3" name="QuadreDeText 2"/>
        <xdr:cNvSpPr txBox="1"/>
      </xdr:nvSpPr>
      <xdr:spPr>
        <a:xfrm>
          <a:off x="723900" y="1714500"/>
          <a:ext cx="199072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7.1.3 A l'Administració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A la Administración</a:t>
          </a:r>
        </a:p>
      </xdr:txBody>
    </xdr:sp>
    <xdr:clientData/>
  </xdr:twoCellAnchor>
  <xdr:twoCellAnchor>
    <xdr:from>
      <xdr:col>1</xdr:col>
      <xdr:colOff>123824</xdr:colOff>
      <xdr:row>10</xdr:row>
      <xdr:rowOff>104775</xdr:rowOff>
    </xdr:from>
    <xdr:to>
      <xdr:col>2</xdr:col>
      <xdr:colOff>352425</xdr:colOff>
      <xdr:row>12</xdr:row>
      <xdr:rowOff>161925</xdr:rowOff>
    </xdr:to>
    <xdr:sp macro="" textlink="">
      <xdr:nvSpPr>
        <xdr:cNvPr id="4" name="QuadreDeText 3"/>
        <xdr:cNvSpPr txBox="1"/>
      </xdr:nvSpPr>
      <xdr:spPr>
        <a:xfrm>
          <a:off x="733424" y="2009775"/>
          <a:ext cx="1952626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7.1.4 A un centre de recerca o similar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A</a:t>
          </a:r>
          <a:r>
            <a:rPr lang="es-ES" sz="900" i="1" baseline="0">
              <a:solidFill>
                <a:schemeClr val="tx2"/>
              </a:solidFill>
            </a:rPr>
            <a:t> un centro de investigación o similar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95250</xdr:colOff>
      <xdr:row>12</xdr:row>
      <xdr:rowOff>85724</xdr:rowOff>
    </xdr:from>
    <xdr:to>
      <xdr:col>2</xdr:col>
      <xdr:colOff>390525</xdr:colOff>
      <xdr:row>14</xdr:row>
      <xdr:rowOff>114299</xdr:rowOff>
    </xdr:to>
    <xdr:sp macro="" textlink="">
      <xdr:nvSpPr>
        <xdr:cNvPr id="5" name="QuadreDeText 4"/>
        <xdr:cNvSpPr txBox="1"/>
      </xdr:nvSpPr>
      <xdr:spPr>
        <a:xfrm>
          <a:off x="704850" y="2371724"/>
          <a:ext cx="201930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7.1.5 A l'empresa privada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A</a:t>
          </a:r>
          <a:r>
            <a:rPr lang="es-ES" sz="900" i="1" baseline="0">
              <a:solidFill>
                <a:schemeClr val="tx2"/>
              </a:solidFill>
            </a:rPr>
            <a:t> la empresa privada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66676</xdr:colOff>
      <xdr:row>14</xdr:row>
      <xdr:rowOff>57150</xdr:rowOff>
    </xdr:from>
    <xdr:to>
      <xdr:col>2</xdr:col>
      <xdr:colOff>381001</xdr:colOff>
      <xdr:row>16</xdr:row>
      <xdr:rowOff>66675</xdr:rowOff>
    </xdr:to>
    <xdr:sp macro="" textlink="">
      <xdr:nvSpPr>
        <xdr:cNvPr id="6" name="QuadreDeText 5"/>
        <xdr:cNvSpPr txBox="1"/>
      </xdr:nvSpPr>
      <xdr:spPr>
        <a:xfrm>
          <a:off x="676276" y="2724150"/>
          <a:ext cx="20383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7.1.6 A cap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A</a:t>
          </a:r>
          <a:r>
            <a:rPr lang="es-ES" sz="900" i="1" baseline="0">
              <a:solidFill>
                <a:schemeClr val="tx2"/>
              </a:solidFill>
            </a:rPr>
            <a:t> cap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142875</xdr:colOff>
      <xdr:row>16</xdr:row>
      <xdr:rowOff>19050</xdr:rowOff>
    </xdr:from>
    <xdr:to>
      <xdr:col>2</xdr:col>
      <xdr:colOff>409575</xdr:colOff>
      <xdr:row>18</xdr:row>
      <xdr:rowOff>28575</xdr:rowOff>
    </xdr:to>
    <xdr:sp macro="" textlink="">
      <xdr:nvSpPr>
        <xdr:cNvPr id="7" name="QuadreDeText 6"/>
        <xdr:cNvSpPr txBox="1"/>
      </xdr:nvSpPr>
      <xdr:spPr>
        <a:xfrm>
          <a:off x="752475" y="3067050"/>
          <a:ext cx="1990725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7.1.7 Altres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Otros</a:t>
          </a:r>
        </a:p>
      </xdr:txBody>
    </xdr:sp>
    <xdr:clientData/>
  </xdr:twoCellAnchor>
  <xdr:twoCellAnchor>
    <xdr:from>
      <xdr:col>1</xdr:col>
      <xdr:colOff>57150</xdr:colOff>
      <xdr:row>18</xdr:row>
      <xdr:rowOff>28575</xdr:rowOff>
    </xdr:from>
    <xdr:to>
      <xdr:col>4</xdr:col>
      <xdr:colOff>47625</xdr:colOff>
      <xdr:row>19</xdr:row>
      <xdr:rowOff>114300</xdr:rowOff>
    </xdr:to>
    <xdr:sp macro="" textlink="">
      <xdr:nvSpPr>
        <xdr:cNvPr id="8" name="QuadreDeText 7"/>
        <xdr:cNvSpPr txBox="1"/>
      </xdr:nvSpPr>
      <xdr:spPr>
        <a:xfrm>
          <a:off x="666750" y="3457575"/>
          <a:ext cx="29337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es-ES" sz="900">
              <a:solidFill>
                <a:schemeClr val="tx2"/>
              </a:solidFill>
            </a:rPr>
            <a:t>Nombre de respostes</a:t>
          </a:r>
        </a:p>
      </xdr:txBody>
    </xdr:sp>
    <xdr:clientData/>
  </xdr:twoCellAnchor>
  <xdr:twoCellAnchor>
    <xdr:from>
      <xdr:col>1</xdr:col>
      <xdr:colOff>9524</xdr:colOff>
      <xdr:row>21</xdr:row>
      <xdr:rowOff>123825</xdr:rowOff>
    </xdr:from>
    <xdr:to>
      <xdr:col>8</xdr:col>
      <xdr:colOff>352425</xdr:colOff>
      <xdr:row>38</xdr:row>
      <xdr:rowOff>152400</xdr:rowOff>
    </xdr:to>
    <xdr:graphicFrame macro="">
      <xdr:nvGraphicFramePr>
        <xdr:cNvPr id="9" name="Gràfic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24</xdr:row>
      <xdr:rowOff>142875</xdr:rowOff>
    </xdr:from>
    <xdr:to>
      <xdr:col>2</xdr:col>
      <xdr:colOff>295275</xdr:colOff>
      <xdr:row>26</xdr:row>
      <xdr:rowOff>180975</xdr:rowOff>
    </xdr:to>
    <xdr:sp macro="" textlink="">
      <xdr:nvSpPr>
        <xdr:cNvPr id="10" name="QuadreDeText 9"/>
        <xdr:cNvSpPr txBox="1"/>
      </xdr:nvSpPr>
      <xdr:spPr>
        <a:xfrm>
          <a:off x="781050" y="4781550"/>
          <a:ext cx="184785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Com</a:t>
          </a:r>
          <a:r>
            <a:rPr lang="es-ES" sz="900" baseline="0">
              <a:solidFill>
                <a:schemeClr val="tx2"/>
              </a:solidFill>
            </a:rPr>
            <a:t> a professor/a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>
              <a:solidFill>
                <a:schemeClr val="tx2"/>
              </a:solidFill>
            </a:rPr>
            <a:t>Como</a:t>
          </a:r>
          <a:r>
            <a:rPr lang="es-ES" sz="900" i="1" baseline="0">
              <a:solidFill>
                <a:schemeClr val="tx2"/>
              </a:solidFill>
            </a:rPr>
            <a:t> profesor/a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152400</xdr:colOff>
      <xdr:row>27</xdr:row>
      <xdr:rowOff>38101</xdr:rowOff>
    </xdr:from>
    <xdr:to>
      <xdr:col>2</xdr:col>
      <xdr:colOff>361950</xdr:colOff>
      <xdr:row>29</xdr:row>
      <xdr:rowOff>85725</xdr:rowOff>
    </xdr:to>
    <xdr:sp macro="" textlink="">
      <xdr:nvSpPr>
        <xdr:cNvPr id="11" name="QuadreDeText 10"/>
        <xdr:cNvSpPr txBox="1"/>
      </xdr:nvSpPr>
      <xdr:spPr>
        <a:xfrm>
          <a:off x="762000" y="5248276"/>
          <a:ext cx="1933575" cy="428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Com</a:t>
          </a:r>
          <a:r>
            <a:rPr lang="es-ES" sz="900" baseline="0">
              <a:solidFill>
                <a:schemeClr val="tx2"/>
              </a:solidFill>
            </a:rPr>
            <a:t> a investigador/a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Como investigador/a</a:t>
          </a:r>
        </a:p>
      </xdr:txBody>
    </xdr:sp>
    <xdr:clientData/>
  </xdr:twoCellAnchor>
  <xdr:twoCellAnchor>
    <xdr:from>
      <xdr:col>1</xdr:col>
      <xdr:colOff>219076</xdr:colOff>
      <xdr:row>32</xdr:row>
      <xdr:rowOff>85726</xdr:rowOff>
    </xdr:from>
    <xdr:to>
      <xdr:col>2</xdr:col>
      <xdr:colOff>352425</xdr:colOff>
      <xdr:row>34</xdr:row>
      <xdr:rowOff>114300</xdr:rowOff>
    </xdr:to>
    <xdr:sp macro="" textlink="">
      <xdr:nvSpPr>
        <xdr:cNvPr id="12" name="QuadreDeText 11"/>
        <xdr:cNvSpPr txBox="1"/>
      </xdr:nvSpPr>
      <xdr:spPr>
        <a:xfrm>
          <a:off x="828676" y="6248401"/>
          <a:ext cx="1857374" cy="409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Altres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Otros</a:t>
          </a:r>
        </a:p>
      </xdr:txBody>
    </xdr:sp>
    <xdr:clientData/>
  </xdr:twoCellAnchor>
  <xdr:twoCellAnchor>
    <xdr:from>
      <xdr:col>1</xdr:col>
      <xdr:colOff>114300</xdr:colOff>
      <xdr:row>34</xdr:row>
      <xdr:rowOff>161925</xdr:rowOff>
    </xdr:from>
    <xdr:to>
      <xdr:col>2</xdr:col>
      <xdr:colOff>333375</xdr:colOff>
      <xdr:row>36</xdr:row>
      <xdr:rowOff>161925</xdr:rowOff>
    </xdr:to>
    <xdr:sp macro="" textlink="">
      <xdr:nvSpPr>
        <xdr:cNvPr id="13" name="QuadreDeText 12"/>
        <xdr:cNvSpPr txBox="1"/>
      </xdr:nvSpPr>
      <xdr:spPr>
        <a:xfrm>
          <a:off x="723900" y="6705600"/>
          <a:ext cx="194310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Ns/Nc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Ns/Nc</a:t>
          </a:r>
        </a:p>
      </xdr:txBody>
    </xdr:sp>
    <xdr:clientData/>
  </xdr:twoCellAnchor>
  <xdr:twoCellAnchor>
    <xdr:from>
      <xdr:col>1</xdr:col>
      <xdr:colOff>0</xdr:colOff>
      <xdr:row>48</xdr:row>
      <xdr:rowOff>85724</xdr:rowOff>
    </xdr:from>
    <xdr:to>
      <xdr:col>8</xdr:col>
      <xdr:colOff>314325</xdr:colOff>
      <xdr:row>66</xdr:row>
      <xdr:rowOff>95249</xdr:rowOff>
    </xdr:to>
    <xdr:graphicFrame macro="">
      <xdr:nvGraphicFramePr>
        <xdr:cNvPr id="14" name="Gràfic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56</xdr:row>
      <xdr:rowOff>19050</xdr:rowOff>
    </xdr:from>
    <xdr:to>
      <xdr:col>1</xdr:col>
      <xdr:colOff>1323975</xdr:colOff>
      <xdr:row>59</xdr:row>
      <xdr:rowOff>114300</xdr:rowOff>
    </xdr:to>
    <xdr:sp macro="" textlink="">
      <xdr:nvSpPr>
        <xdr:cNvPr id="15" name="QuadreDeText 14"/>
        <xdr:cNvSpPr txBox="1"/>
      </xdr:nvSpPr>
      <xdr:spPr>
        <a:xfrm>
          <a:off x="638175" y="12973050"/>
          <a:ext cx="1295400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Promoció fora de la carrera</a:t>
          </a:r>
          <a:r>
            <a:rPr lang="es-ES" sz="900" baseline="0">
              <a:solidFill>
                <a:schemeClr val="tx2"/>
              </a:solidFill>
            </a:rPr>
            <a:t> acadèmica</a:t>
          </a:r>
          <a:endParaRPr lang="es-ES" sz="900" i="1" baseline="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</a:rPr>
            <a:t>Promoción fuera de la carrera académica</a:t>
          </a:r>
        </a:p>
      </xdr:txBody>
    </xdr:sp>
    <xdr:clientData/>
  </xdr:twoCellAnchor>
  <xdr:twoCellAnchor>
    <xdr:from>
      <xdr:col>1</xdr:col>
      <xdr:colOff>19050</xdr:colOff>
      <xdr:row>59</xdr:row>
      <xdr:rowOff>47625</xdr:rowOff>
    </xdr:from>
    <xdr:to>
      <xdr:col>1</xdr:col>
      <xdr:colOff>1323975</xdr:colOff>
      <xdr:row>62</xdr:row>
      <xdr:rowOff>161925</xdr:rowOff>
    </xdr:to>
    <xdr:sp macro="" textlink="">
      <xdr:nvSpPr>
        <xdr:cNvPr id="16" name="QuadreDeText 15"/>
        <xdr:cNvSpPr txBox="1"/>
      </xdr:nvSpPr>
      <xdr:spPr>
        <a:xfrm>
          <a:off x="628650" y="13573125"/>
          <a:ext cx="130492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Completar la formació universitària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Completar</a:t>
          </a:r>
          <a:r>
            <a:rPr lang="es-ES" sz="900" i="1" baseline="0">
              <a:solidFill>
                <a:schemeClr val="tx2"/>
              </a:solidFill>
            </a:rPr>
            <a:t> la formación universitaria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95250</xdr:colOff>
      <xdr:row>62</xdr:row>
      <xdr:rowOff>133350</xdr:rowOff>
    </xdr:from>
    <xdr:to>
      <xdr:col>1</xdr:col>
      <xdr:colOff>1323975</xdr:colOff>
      <xdr:row>64</xdr:row>
      <xdr:rowOff>152400</xdr:rowOff>
    </xdr:to>
    <xdr:sp macro="" textlink="">
      <xdr:nvSpPr>
        <xdr:cNvPr id="17" name="QuadreDeText 16"/>
        <xdr:cNvSpPr txBox="1"/>
      </xdr:nvSpPr>
      <xdr:spPr>
        <a:xfrm>
          <a:off x="704850" y="14230350"/>
          <a:ext cx="12287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Fer investigació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Hacer investigación</a:t>
          </a:r>
        </a:p>
      </xdr:txBody>
    </xdr:sp>
    <xdr:clientData/>
  </xdr:twoCellAnchor>
  <xdr:twoCellAnchor>
    <xdr:from>
      <xdr:col>1</xdr:col>
      <xdr:colOff>19050</xdr:colOff>
      <xdr:row>37</xdr:row>
      <xdr:rowOff>171450</xdr:rowOff>
    </xdr:from>
    <xdr:to>
      <xdr:col>2</xdr:col>
      <xdr:colOff>47625</xdr:colOff>
      <xdr:row>38</xdr:row>
      <xdr:rowOff>152400</xdr:rowOff>
    </xdr:to>
    <xdr:sp macro="" textlink="">
      <xdr:nvSpPr>
        <xdr:cNvPr id="18" name="QuadreDeText 17"/>
        <xdr:cNvSpPr txBox="1"/>
      </xdr:nvSpPr>
      <xdr:spPr>
        <a:xfrm>
          <a:off x="628650" y="7286625"/>
          <a:ext cx="1752600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es-ES" sz="900">
              <a:solidFill>
                <a:schemeClr val="tx2"/>
              </a:solidFill>
            </a:rPr>
            <a:t>Nombre</a:t>
          </a:r>
          <a:r>
            <a:rPr lang="es-ES" sz="900" baseline="0">
              <a:solidFill>
                <a:schemeClr val="tx2"/>
              </a:solidFill>
            </a:rPr>
            <a:t> de respostes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28574</xdr:colOff>
      <xdr:row>65</xdr:row>
      <xdr:rowOff>76200</xdr:rowOff>
    </xdr:from>
    <xdr:to>
      <xdr:col>2</xdr:col>
      <xdr:colOff>85724</xdr:colOff>
      <xdr:row>66</xdr:row>
      <xdr:rowOff>76200</xdr:rowOff>
    </xdr:to>
    <xdr:sp macro="" textlink="">
      <xdr:nvSpPr>
        <xdr:cNvPr id="19" name="QuadreDeText 18"/>
        <xdr:cNvSpPr txBox="1"/>
      </xdr:nvSpPr>
      <xdr:spPr>
        <a:xfrm>
          <a:off x="638174" y="14744700"/>
          <a:ext cx="1781175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es-ES" sz="900">
              <a:solidFill>
                <a:schemeClr val="tx2"/>
              </a:solidFill>
            </a:rPr>
            <a:t>Nombre de respostes</a:t>
          </a:r>
        </a:p>
      </xdr:txBody>
    </xdr:sp>
    <xdr:clientData/>
  </xdr:twoCellAnchor>
  <xdr:twoCellAnchor>
    <xdr:from>
      <xdr:col>1</xdr:col>
      <xdr:colOff>0</xdr:colOff>
      <xdr:row>68</xdr:row>
      <xdr:rowOff>85724</xdr:rowOff>
    </xdr:from>
    <xdr:to>
      <xdr:col>8</xdr:col>
      <xdr:colOff>314325</xdr:colOff>
      <xdr:row>88</xdr:row>
      <xdr:rowOff>171449</xdr:rowOff>
    </xdr:to>
    <xdr:graphicFrame macro="">
      <xdr:nvGraphicFramePr>
        <xdr:cNvPr id="20" name="Gràfic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57150</xdr:colOff>
      <xdr:row>72</xdr:row>
      <xdr:rowOff>28574</xdr:rowOff>
    </xdr:from>
    <xdr:to>
      <xdr:col>1</xdr:col>
      <xdr:colOff>1628775</xdr:colOff>
      <xdr:row>76</xdr:row>
      <xdr:rowOff>57149</xdr:rowOff>
    </xdr:to>
    <xdr:sp macro="" textlink="">
      <xdr:nvSpPr>
        <xdr:cNvPr id="21" name="QuadreDeText 20"/>
        <xdr:cNvSpPr txBox="1"/>
      </xdr:nvSpPr>
      <xdr:spPr>
        <a:xfrm>
          <a:off x="666750" y="16030574"/>
          <a:ext cx="157162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És</a:t>
          </a:r>
          <a:r>
            <a:rPr lang="es-ES" sz="900" baseline="0">
              <a:solidFill>
                <a:schemeClr val="tx2"/>
              </a:solidFill>
            </a:rPr>
            <a:t> la única universitat que ofereix aquest tipus de programa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Es la única universidad que ofrece este tipo de programa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38100</xdr:colOff>
      <xdr:row>76</xdr:row>
      <xdr:rowOff>76200</xdr:rowOff>
    </xdr:from>
    <xdr:to>
      <xdr:col>1</xdr:col>
      <xdr:colOff>1638300</xdr:colOff>
      <xdr:row>78</xdr:row>
      <xdr:rowOff>66675</xdr:rowOff>
    </xdr:to>
    <xdr:sp macro="" textlink="">
      <xdr:nvSpPr>
        <xdr:cNvPr id="22" name="QuadreDeText 21"/>
        <xdr:cNvSpPr txBox="1"/>
      </xdr:nvSpPr>
      <xdr:spPr>
        <a:xfrm>
          <a:off x="647700" y="16840200"/>
          <a:ext cx="160020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Ser titulat/ada de la UPC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Ser titulado/a</a:t>
          </a:r>
          <a:r>
            <a:rPr lang="es-ES" sz="900" i="1" baseline="0">
              <a:solidFill>
                <a:schemeClr val="tx2"/>
              </a:solidFill>
            </a:rPr>
            <a:t> de la UPC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95250</xdr:colOff>
      <xdr:row>79</xdr:row>
      <xdr:rowOff>19050</xdr:rowOff>
    </xdr:from>
    <xdr:to>
      <xdr:col>1</xdr:col>
      <xdr:colOff>1619250</xdr:colOff>
      <xdr:row>81</xdr:row>
      <xdr:rowOff>9526</xdr:rowOff>
    </xdr:to>
    <xdr:sp macro="" textlink="">
      <xdr:nvSpPr>
        <xdr:cNvPr id="23" name="QuadreDeText 22"/>
        <xdr:cNvSpPr txBox="1"/>
      </xdr:nvSpPr>
      <xdr:spPr>
        <a:xfrm>
          <a:off x="704850" y="17354550"/>
          <a:ext cx="1524000" cy="3714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El prestigi de la UPC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El prestigio de la UPC</a:t>
          </a:r>
        </a:p>
      </xdr:txBody>
    </xdr:sp>
    <xdr:clientData/>
  </xdr:twoCellAnchor>
  <xdr:twoCellAnchor>
    <xdr:from>
      <xdr:col>1</xdr:col>
      <xdr:colOff>85725</xdr:colOff>
      <xdr:row>81</xdr:row>
      <xdr:rowOff>38100</xdr:rowOff>
    </xdr:from>
    <xdr:to>
      <xdr:col>1</xdr:col>
      <xdr:colOff>1657350</xdr:colOff>
      <xdr:row>84</xdr:row>
      <xdr:rowOff>152400</xdr:rowOff>
    </xdr:to>
    <xdr:sp macro="" textlink="">
      <xdr:nvSpPr>
        <xdr:cNvPr id="24" name="QuadreDeText 23"/>
        <xdr:cNvSpPr txBox="1"/>
      </xdr:nvSpPr>
      <xdr:spPr>
        <a:xfrm>
          <a:off x="695325" y="17754600"/>
          <a:ext cx="1571625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La proximitat al lloc</a:t>
          </a:r>
          <a:r>
            <a:rPr lang="es-ES" sz="900" baseline="0">
              <a:solidFill>
                <a:schemeClr val="tx2"/>
              </a:solidFill>
            </a:rPr>
            <a:t> de residència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La proximidad al lugar de residencia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28575</xdr:colOff>
      <xdr:row>84</xdr:row>
      <xdr:rowOff>152400</xdr:rowOff>
    </xdr:from>
    <xdr:to>
      <xdr:col>1</xdr:col>
      <xdr:colOff>1638300</xdr:colOff>
      <xdr:row>87</xdr:row>
      <xdr:rowOff>38100</xdr:rowOff>
    </xdr:to>
    <xdr:sp macro="" textlink="">
      <xdr:nvSpPr>
        <xdr:cNvPr id="25" name="QuadreDeText 24"/>
        <xdr:cNvSpPr txBox="1"/>
      </xdr:nvSpPr>
      <xdr:spPr>
        <a:xfrm>
          <a:off x="638175" y="18440400"/>
          <a:ext cx="16097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Treballar a la UPC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Trabajar</a:t>
          </a:r>
          <a:r>
            <a:rPr lang="es-ES" sz="900" i="1" baseline="0">
              <a:solidFill>
                <a:schemeClr val="tx2"/>
              </a:solidFill>
            </a:rPr>
            <a:t> en la UPC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47625</xdr:colOff>
      <xdr:row>87</xdr:row>
      <xdr:rowOff>85725</xdr:rowOff>
    </xdr:from>
    <xdr:to>
      <xdr:col>2</xdr:col>
      <xdr:colOff>342900</xdr:colOff>
      <xdr:row>88</xdr:row>
      <xdr:rowOff>142875</xdr:rowOff>
    </xdr:to>
    <xdr:sp macro="" textlink="">
      <xdr:nvSpPr>
        <xdr:cNvPr id="26" name="QuadreDeText 25"/>
        <xdr:cNvSpPr txBox="1"/>
      </xdr:nvSpPr>
      <xdr:spPr>
        <a:xfrm>
          <a:off x="657225" y="18945225"/>
          <a:ext cx="20193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ES" sz="900">
              <a:solidFill>
                <a:schemeClr val="tx2"/>
              </a:solidFill>
            </a:rPr>
            <a:t>Nombre de respostes</a:t>
          </a:r>
        </a:p>
      </xdr:txBody>
    </xdr:sp>
    <xdr:clientData/>
  </xdr:twoCellAnchor>
  <xdr:twoCellAnchor>
    <xdr:from>
      <xdr:col>0</xdr:col>
      <xdr:colOff>600074</xdr:colOff>
      <xdr:row>91</xdr:row>
      <xdr:rowOff>66675</xdr:rowOff>
    </xdr:from>
    <xdr:to>
      <xdr:col>8</xdr:col>
      <xdr:colOff>352424</xdr:colOff>
      <xdr:row>110</xdr:row>
      <xdr:rowOff>66675</xdr:rowOff>
    </xdr:to>
    <xdr:graphicFrame macro="">
      <xdr:nvGraphicFramePr>
        <xdr:cNvPr id="27" name="Gràfic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96</xdr:row>
      <xdr:rowOff>95250</xdr:rowOff>
    </xdr:from>
    <xdr:to>
      <xdr:col>1</xdr:col>
      <xdr:colOff>1514475</xdr:colOff>
      <xdr:row>98</xdr:row>
      <xdr:rowOff>152400</xdr:rowOff>
    </xdr:to>
    <xdr:sp macro="" textlink="">
      <xdr:nvSpPr>
        <xdr:cNvPr id="28" name="QuadreDeText 27"/>
        <xdr:cNvSpPr txBox="1"/>
      </xdr:nvSpPr>
      <xdr:spPr>
        <a:xfrm>
          <a:off x="638175" y="20669250"/>
          <a:ext cx="148590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Menys de 10 hores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Menos</a:t>
          </a:r>
          <a:r>
            <a:rPr lang="es-ES" sz="900" i="1" baseline="0">
              <a:solidFill>
                <a:schemeClr val="tx2"/>
              </a:solidFill>
            </a:rPr>
            <a:t> de 10 horas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1</xdr:col>
      <xdr:colOff>85725</xdr:colOff>
      <xdr:row>99</xdr:row>
      <xdr:rowOff>85725</xdr:rowOff>
    </xdr:from>
    <xdr:to>
      <xdr:col>1</xdr:col>
      <xdr:colOff>1524000</xdr:colOff>
      <xdr:row>101</xdr:row>
      <xdr:rowOff>142875</xdr:rowOff>
    </xdr:to>
    <xdr:sp macro="" textlink="">
      <xdr:nvSpPr>
        <xdr:cNvPr id="29" name="QuadreDeText 28"/>
        <xdr:cNvSpPr txBox="1"/>
      </xdr:nvSpPr>
      <xdr:spPr>
        <a:xfrm>
          <a:off x="695325" y="21231225"/>
          <a:ext cx="1438275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De</a:t>
          </a:r>
          <a:r>
            <a:rPr lang="es-ES" sz="900" baseline="0">
              <a:solidFill>
                <a:schemeClr val="tx2"/>
              </a:solidFill>
            </a:rPr>
            <a:t> 10 a 20 hores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De 10 a 20 horas</a:t>
          </a:r>
        </a:p>
      </xdr:txBody>
    </xdr:sp>
    <xdr:clientData/>
  </xdr:twoCellAnchor>
  <xdr:twoCellAnchor>
    <xdr:from>
      <xdr:col>1</xdr:col>
      <xdr:colOff>66675</xdr:colOff>
      <xdr:row>102</xdr:row>
      <xdr:rowOff>66675</xdr:rowOff>
    </xdr:from>
    <xdr:to>
      <xdr:col>1</xdr:col>
      <xdr:colOff>1533525</xdr:colOff>
      <xdr:row>105</xdr:row>
      <xdr:rowOff>9525</xdr:rowOff>
    </xdr:to>
    <xdr:sp macro="" textlink="">
      <xdr:nvSpPr>
        <xdr:cNvPr id="30" name="QuadreDeText 29"/>
        <xdr:cNvSpPr txBox="1"/>
      </xdr:nvSpPr>
      <xdr:spPr>
        <a:xfrm>
          <a:off x="676275" y="21783675"/>
          <a:ext cx="14668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De 20 a 30 hores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De</a:t>
          </a:r>
          <a:r>
            <a:rPr lang="es-ES" sz="900" i="1" baseline="0">
              <a:solidFill>
                <a:schemeClr val="tx2"/>
              </a:solidFill>
            </a:rPr>
            <a:t> 20 a 30 horas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0.01417</cdr:x>
      <cdr:y>0.22082</cdr:y>
    </cdr:from>
    <cdr:to>
      <cdr:x>0.36693</cdr:x>
      <cdr:y>0.32964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85726" y="759284"/>
          <a:ext cx="2133600" cy="374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7.1.1 A la UPC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A</a:t>
          </a:r>
          <a:r>
            <a:rPr lang="es-ES" sz="900" i="1" baseline="0">
              <a:solidFill>
                <a:schemeClr val="tx2"/>
              </a:solidFill>
            </a:rPr>
            <a:t> la UPC</a:t>
          </a:r>
        </a:p>
      </cdr:txBody>
    </cdr:sp>
  </cdr:relSizeAnchor>
  <cdr:relSizeAnchor xmlns:cdr="http://schemas.openxmlformats.org/drawingml/2006/chartDrawing">
    <cdr:from>
      <cdr:x>0.01732</cdr:x>
      <cdr:y>0.31302</cdr:y>
    </cdr:from>
    <cdr:to>
      <cdr:x>0.3685</cdr:x>
      <cdr:y>0.42659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104776" y="1076327"/>
          <a:ext cx="2124075" cy="390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7.1.2</a:t>
          </a:r>
          <a:r>
            <a:rPr lang="es-ES" sz="900" baseline="0">
              <a:solidFill>
                <a:schemeClr val="tx2"/>
              </a:solidFill>
            </a:rPr>
            <a:t> A altres universitats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A otras universidades</a:t>
          </a:r>
          <a:endParaRPr lang="es-ES" sz="900" i="1">
            <a:solidFill>
              <a:schemeClr val="tx2"/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0.02835</cdr:x>
      <cdr:y>0.48857</cdr:y>
    </cdr:from>
    <cdr:to>
      <cdr:x>0.35906</cdr:x>
      <cdr:y>0.61429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162290" y="1628775"/>
          <a:ext cx="1893158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Com a becari/a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Como becario/a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0.01171</cdr:x>
      <cdr:y>0.24654</cdr:y>
    </cdr:from>
    <cdr:to>
      <cdr:x>0.23411</cdr:x>
      <cdr:y>0.44321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66675" y="847725"/>
          <a:ext cx="126682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Promoció dins la carrera</a:t>
          </a:r>
          <a:r>
            <a:rPr lang="es-ES" sz="900" baseline="0">
              <a:solidFill>
                <a:schemeClr val="tx2"/>
              </a:solidFill>
            </a:rPr>
            <a:t> acadèmica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Promoción dentro de la carrera académica</a:t>
          </a:r>
          <a:endParaRPr lang="es-ES" sz="900" i="1">
            <a:solidFill>
              <a:schemeClr val="tx2"/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0.00332</cdr:x>
      <cdr:y>0.75526</cdr:y>
    </cdr:from>
    <cdr:to>
      <cdr:x>0.26866</cdr:x>
      <cdr:y>0.9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19051" y="2733675"/>
          <a:ext cx="152400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Més de 30 hores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Más de 30 horas</a:t>
          </a:r>
        </a:p>
      </cdr:txBody>
    </cdr:sp>
  </cdr:relSizeAnchor>
  <cdr:relSizeAnchor xmlns:cdr="http://schemas.openxmlformats.org/drawingml/2006/chartDrawing">
    <cdr:from>
      <cdr:x>0.00332</cdr:x>
      <cdr:y>0.90789</cdr:y>
    </cdr:from>
    <cdr:to>
      <cdr:x>0.30182</cdr:x>
      <cdr:y>1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19051" y="3286125"/>
          <a:ext cx="1714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Nombre de respostes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0.04075</cdr:x>
      <cdr:y>0.15588</cdr:y>
    </cdr:from>
    <cdr:to>
      <cdr:x>0.43103</cdr:x>
      <cdr:y>0.80588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247651" y="504826"/>
          <a:ext cx="2371725" cy="2105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s-ES" sz="90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1.1.1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Els cursos del període de formació (màster) són d'interès per a la meva activitat de recerca.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Los cursos del periodo de formación (máster) son d'interés para mi actividad de investigación</a:t>
          </a:r>
          <a:r>
            <a:rPr lang="es-ES" sz="8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.</a:t>
          </a:r>
        </a:p>
        <a:p xmlns:a="http://schemas.openxmlformats.org/drawingml/2006/main">
          <a:pPr algn="ctr"/>
          <a:endParaRPr lang="es-ES" sz="1100" i="1" baseline="0">
            <a:solidFill>
              <a:schemeClr val="tx2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s-ES" sz="900" i="0" baseline="0">
              <a:solidFill>
                <a:schemeClr val="tx2"/>
              </a:solidFill>
              <a:latin typeface="+mn-lt"/>
              <a:ea typeface="+mn-ea"/>
              <a:cs typeface="+mn-cs"/>
            </a:rPr>
            <a:t>1.1.2 Els cursos del període de formació (màster) signifiquen un nivell formatiu superior als estudis previs que he cursat.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8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Los cursos del periodo de formación (máster) </a:t>
          </a:r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significan un nivel formativo superior a los estudios previos que he cursado.</a:t>
          </a:r>
          <a:endParaRPr lang="es-ES" sz="900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0.00157</cdr:x>
      <cdr:y>0.87059</cdr:y>
    </cdr:from>
    <cdr:to>
      <cdr:x>0.93417</cdr:x>
      <cdr:y>0.99706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9522" y="2819393"/>
          <a:ext cx="5667364" cy="409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La</a:t>
          </a:r>
          <a:r>
            <a:rPr lang="es-ES" sz="900" baseline="0">
              <a:solidFill>
                <a:schemeClr val="tx2"/>
              </a:solidFill>
            </a:rPr>
            <a:t> mitjana de les valoracions de la pregunta va de 1 (molt en desacord) a 5 (molt d'acord).</a:t>
          </a:r>
        </a:p>
        <a:p xmlns:a="http://schemas.openxmlformats.org/drawingml/2006/main">
          <a:r>
            <a:rPr lang="es-ES" sz="900" i="1" baseline="0">
              <a:solidFill>
                <a:schemeClr val="tx2"/>
              </a:solidFill>
            </a:rPr>
            <a:t>La media ("mitjana" )de las valoraciones de la pregunta va de 1 (muy en desacuerdo) a 5 (muy de acuerdo).</a:t>
          </a:r>
          <a:endParaRPr lang="es-ES" sz="900" i="1">
            <a:solidFill>
              <a:schemeClr val="tx2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0.00588</cdr:x>
      <cdr:y>0.10207</cdr:y>
    </cdr:from>
    <cdr:to>
      <cdr:x>0.28676</cdr:x>
      <cdr:y>0.17863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38101" y="624185"/>
          <a:ext cx="1819275" cy="4681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Cursos metodològics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Cursos</a:t>
          </a:r>
          <a:r>
            <a:rPr lang="es-ES" sz="900" i="1" baseline="0">
              <a:solidFill>
                <a:schemeClr val="tx2"/>
              </a:solidFill>
            </a:rPr>
            <a:t> metodológicos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0.00882</cdr:x>
      <cdr:y>0.37724</cdr:y>
    </cdr:from>
    <cdr:to>
      <cdr:x>0.28971</cdr:x>
      <cdr:y>0.44111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57151" y="2421844"/>
          <a:ext cx="1819275" cy="409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Treballs pràctics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Trabajos</a:t>
          </a:r>
          <a:r>
            <a:rPr lang="es-ES" sz="900" i="1" baseline="0">
              <a:solidFill>
                <a:schemeClr val="tx2"/>
              </a:solidFill>
            </a:rPr>
            <a:t> prácticos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0.07059</cdr:x>
      <cdr:y>0.48006</cdr:y>
    </cdr:from>
    <cdr:to>
      <cdr:x>0.28088</cdr:x>
      <cdr:y>0.53748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457201" y="2867026"/>
          <a:ext cx="13620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0.00735</cdr:x>
      <cdr:y>0.46786</cdr:y>
    </cdr:from>
    <cdr:to>
      <cdr:x>0.28971</cdr:x>
      <cdr:y>0.53166</cdr:y>
    </cdr:to>
    <cdr:sp macro="" textlink="">
      <cdr:nvSpPr>
        <cdr:cNvPr id="5" name="QuadreDeText 4"/>
        <cdr:cNvSpPr txBox="1"/>
      </cdr:nvSpPr>
      <cdr:spPr>
        <a:xfrm xmlns:a="http://schemas.openxmlformats.org/drawingml/2006/main">
          <a:off x="47626" y="3003597"/>
          <a:ext cx="1828799" cy="40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Treballs</a:t>
          </a:r>
          <a:r>
            <a:rPr lang="es-ES" sz="900" baseline="0">
              <a:solidFill>
                <a:schemeClr val="tx2"/>
              </a:solidFill>
            </a:rPr>
            <a:t> al laboratori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Trabajos en el laboratorio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0.00735</cdr:x>
      <cdr:y>0.55272</cdr:y>
    </cdr:from>
    <cdr:to>
      <cdr:x>0.28529</cdr:x>
      <cdr:y>0.62768</cdr:y>
    </cdr:to>
    <cdr:sp macro="" textlink="">
      <cdr:nvSpPr>
        <cdr:cNvPr id="6" name="QuadreDeText 5"/>
        <cdr:cNvSpPr txBox="1"/>
      </cdr:nvSpPr>
      <cdr:spPr>
        <a:xfrm xmlns:a="http://schemas.openxmlformats.org/drawingml/2006/main">
          <a:off x="47626" y="3548406"/>
          <a:ext cx="1800225" cy="481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Classes magistrals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Clases</a:t>
          </a:r>
          <a:r>
            <a:rPr lang="es-ES" sz="900" i="1" baseline="0">
              <a:solidFill>
                <a:schemeClr val="tx2"/>
              </a:solidFill>
            </a:rPr>
            <a:t> magistrales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0.00735</cdr:x>
      <cdr:y>0.6453</cdr:y>
    </cdr:from>
    <cdr:to>
      <cdr:x>0.28824</cdr:x>
      <cdr:y>0.7154</cdr:y>
    </cdr:to>
    <cdr:sp macro="" textlink="">
      <cdr:nvSpPr>
        <cdr:cNvPr id="7" name="QuadreDeText 6"/>
        <cdr:cNvSpPr txBox="1"/>
      </cdr:nvSpPr>
      <cdr:spPr>
        <a:xfrm xmlns:a="http://schemas.openxmlformats.org/drawingml/2006/main">
          <a:off x="47626" y="4142753"/>
          <a:ext cx="1819275" cy="4499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Treballs en equip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Trabajos</a:t>
          </a:r>
          <a:r>
            <a:rPr lang="es-ES" sz="900" i="1" baseline="0">
              <a:solidFill>
                <a:schemeClr val="tx2"/>
              </a:solidFill>
            </a:rPr>
            <a:t> en equipo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0.075</cdr:x>
      <cdr:y>0.75545</cdr:y>
    </cdr:from>
    <cdr:to>
      <cdr:x>0.27647</cdr:x>
      <cdr:y>0.83178</cdr:y>
    </cdr:to>
    <cdr:sp macro="" textlink="">
      <cdr:nvSpPr>
        <cdr:cNvPr id="8" name="QuadreDeText 7"/>
        <cdr:cNvSpPr txBox="1"/>
      </cdr:nvSpPr>
      <cdr:spPr>
        <a:xfrm xmlns:a="http://schemas.openxmlformats.org/drawingml/2006/main">
          <a:off x="485776" y="4619625"/>
          <a:ext cx="13049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0.00735</cdr:x>
      <cdr:y>0.72051</cdr:y>
    </cdr:from>
    <cdr:to>
      <cdr:x>0.28676</cdr:x>
      <cdr:y>0.84866</cdr:y>
    </cdr:to>
    <cdr:sp macro="" textlink="">
      <cdr:nvSpPr>
        <cdr:cNvPr id="9" name="QuadreDeText 8"/>
        <cdr:cNvSpPr txBox="1"/>
      </cdr:nvSpPr>
      <cdr:spPr>
        <a:xfrm xmlns:a="http://schemas.openxmlformats.org/drawingml/2006/main">
          <a:off x="47666" y="4625594"/>
          <a:ext cx="1812400" cy="822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Altres activitats com</a:t>
          </a:r>
          <a:r>
            <a:rPr lang="es-ES" sz="900" baseline="0">
              <a:solidFill>
                <a:schemeClr val="tx2"/>
              </a:solidFill>
            </a:rPr>
            <a:t> conferències, estades, assistència a congressos...</a:t>
          </a:r>
          <a:endParaRPr lang="es-ES" sz="1100" baseline="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Otras</a:t>
          </a:r>
          <a:r>
            <a:rPr lang="es-ES" sz="900" i="1" baseline="0">
              <a:solidFill>
                <a:schemeClr val="tx2"/>
              </a:solidFill>
            </a:rPr>
            <a:t> actividades como conferencias, movilidad, asistencia a congresos...</a:t>
          </a:r>
          <a:endParaRPr lang="es-ES" sz="900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0.00735</cdr:x>
      <cdr:y>0.84001</cdr:y>
    </cdr:from>
    <cdr:to>
      <cdr:x>0.28529</cdr:x>
      <cdr:y>0.8992</cdr:y>
    </cdr:to>
    <cdr:sp macro="" textlink="">
      <cdr:nvSpPr>
        <cdr:cNvPr id="10" name="QuadreDeText 9"/>
        <cdr:cNvSpPr txBox="1"/>
      </cdr:nvSpPr>
      <cdr:spPr>
        <a:xfrm xmlns:a="http://schemas.openxmlformats.org/drawingml/2006/main">
          <a:off x="47626" y="5392724"/>
          <a:ext cx="1800225" cy="379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Materials de treball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Materiales de trabajo</a:t>
          </a:r>
        </a:p>
      </cdr:txBody>
    </cdr:sp>
  </cdr:relSizeAnchor>
  <cdr:relSizeAnchor xmlns:cdr="http://schemas.openxmlformats.org/drawingml/2006/chartDrawing">
    <cdr:from>
      <cdr:x>1.54392E-7</cdr:x>
      <cdr:y>0.96588</cdr:y>
    </cdr:from>
    <cdr:to>
      <cdr:x>0.25294</cdr:x>
      <cdr:y>0.99258</cdr:y>
    </cdr:to>
    <cdr:sp macro="" textlink="">
      <cdr:nvSpPr>
        <cdr:cNvPr id="11" name="QuadreDeText 10"/>
        <cdr:cNvSpPr txBox="1"/>
      </cdr:nvSpPr>
      <cdr:spPr>
        <a:xfrm xmlns:a="http://schemas.openxmlformats.org/drawingml/2006/main">
          <a:off x="1" y="6200777"/>
          <a:ext cx="163830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Nombre de respostes.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4</xdr:row>
      <xdr:rowOff>161924</xdr:rowOff>
    </xdr:from>
    <xdr:to>
      <xdr:col>11</xdr:col>
      <xdr:colOff>323850</xdr:colOff>
      <xdr:row>30</xdr:row>
      <xdr:rowOff>142876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8</xdr:row>
      <xdr:rowOff>66675</xdr:rowOff>
    </xdr:from>
    <xdr:to>
      <xdr:col>4</xdr:col>
      <xdr:colOff>561975</xdr:colOff>
      <xdr:row>12</xdr:row>
      <xdr:rowOff>95250</xdr:rowOff>
    </xdr:to>
    <xdr:sp macro="" textlink="">
      <xdr:nvSpPr>
        <xdr:cNvPr id="3" name="QuadreDeText 2"/>
        <xdr:cNvSpPr txBox="1"/>
      </xdr:nvSpPr>
      <xdr:spPr>
        <a:xfrm>
          <a:off x="419100" y="828675"/>
          <a:ext cx="25812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2.1.1 El projecte o proposta de tesi m'han estat útils per iniciar-me en la recerca</a:t>
          </a:r>
        </a:p>
        <a:p>
          <a:pPr algn="ctr"/>
          <a:r>
            <a:rPr lang="es-ES" sz="900" i="1">
              <a:solidFill>
                <a:schemeClr val="tx2"/>
              </a:solidFill>
            </a:rPr>
            <a:t>El proyecyo o propuesta de tesis me han sido útiles para iniciar-me</a:t>
          </a:r>
          <a:r>
            <a:rPr lang="es-ES" sz="900" i="1" baseline="0">
              <a:solidFill>
                <a:schemeClr val="tx2"/>
              </a:solidFill>
            </a:rPr>
            <a:t> en la investigación</a:t>
          </a:r>
        </a:p>
        <a:p>
          <a:pPr algn="ctr"/>
          <a:r>
            <a:rPr lang="es-ES" sz="900" b="1" i="1">
              <a:solidFill>
                <a:schemeClr val="tx2"/>
              </a:solidFill>
            </a:rPr>
            <a:t>Mitjana: 4</a:t>
          </a:r>
        </a:p>
      </xdr:txBody>
    </xdr:sp>
    <xdr:clientData/>
  </xdr:twoCellAnchor>
  <xdr:twoCellAnchor>
    <xdr:from>
      <xdr:col>0</xdr:col>
      <xdr:colOff>438150</xdr:colOff>
      <xdr:row>18</xdr:row>
      <xdr:rowOff>180975</xdr:rowOff>
    </xdr:from>
    <xdr:to>
      <xdr:col>4</xdr:col>
      <xdr:colOff>561975</xdr:colOff>
      <xdr:row>23</xdr:row>
      <xdr:rowOff>47625</xdr:rowOff>
    </xdr:to>
    <xdr:sp macro="" textlink="">
      <xdr:nvSpPr>
        <xdr:cNvPr id="4" name="QuadreDeText 3"/>
        <xdr:cNvSpPr txBox="1"/>
      </xdr:nvSpPr>
      <xdr:spPr>
        <a:xfrm>
          <a:off x="438150" y="2847975"/>
          <a:ext cx="256222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2.1.3 M'ha estat fàcil trobar</a:t>
          </a:r>
          <a:r>
            <a:rPr lang="es-ES" sz="900" baseline="0">
              <a:solidFill>
                <a:schemeClr val="tx2"/>
              </a:solidFill>
            </a:rPr>
            <a:t> el director de tesi perquè m'avalés el projecte o proposta de tesi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Me ha sido fácil encontrar el director de tesis para que me avalara el proyecto o la propuesta de tesis.</a:t>
          </a: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4,2</a:t>
          </a:r>
          <a:endParaRPr lang="es-ES" sz="10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371475</xdr:colOff>
      <xdr:row>36</xdr:row>
      <xdr:rowOff>95250</xdr:rowOff>
    </xdr:from>
    <xdr:to>
      <xdr:col>11</xdr:col>
      <xdr:colOff>352425</xdr:colOff>
      <xdr:row>58</xdr:row>
      <xdr:rowOff>9524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50</xdr:row>
      <xdr:rowOff>66675</xdr:rowOff>
    </xdr:from>
    <xdr:to>
      <xdr:col>4</xdr:col>
      <xdr:colOff>371475</xdr:colOff>
      <xdr:row>54</xdr:row>
      <xdr:rowOff>123825</xdr:rowOff>
    </xdr:to>
    <xdr:sp macro="" textlink="">
      <xdr:nvSpPr>
        <xdr:cNvPr id="6" name="QuadreDeText 5"/>
        <xdr:cNvSpPr txBox="1"/>
      </xdr:nvSpPr>
      <xdr:spPr>
        <a:xfrm>
          <a:off x="447675" y="8829675"/>
          <a:ext cx="2362200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2.1.3 M'ha estat fàcil trobar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el director de tesi perquè m'avalés el projecte o proposta de tesi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Me ha sido fácil encontrar el director de tesis para que me avalara el proyecto o la propuesta de tesis.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390525</xdr:colOff>
      <xdr:row>55</xdr:row>
      <xdr:rowOff>180974</xdr:rowOff>
    </xdr:from>
    <xdr:to>
      <xdr:col>11</xdr:col>
      <xdr:colOff>219075</xdr:colOff>
      <xdr:row>57</xdr:row>
      <xdr:rowOff>190499</xdr:rowOff>
    </xdr:to>
    <xdr:sp macro="" textlink="">
      <xdr:nvSpPr>
        <xdr:cNvPr id="7" name="QuadreDeText 6"/>
        <xdr:cNvSpPr txBox="1"/>
      </xdr:nvSpPr>
      <xdr:spPr>
        <a:xfrm>
          <a:off x="390525" y="9896474"/>
          <a:ext cx="65341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r>
            <a:rPr lang="es-ES" sz="900">
              <a:solidFill>
                <a:schemeClr val="tx2"/>
              </a:solidFill>
            </a:rPr>
            <a:t>La mitjana de les valoracions de la</a:t>
          </a:r>
          <a:r>
            <a:rPr lang="es-ES" sz="900" baseline="0">
              <a:solidFill>
                <a:schemeClr val="tx2"/>
              </a:solidFill>
            </a:rPr>
            <a:t> pregunta va de 1 (molt en desacord) a 5 (molt d'acord)</a:t>
          </a:r>
        </a:p>
        <a:p>
          <a:r>
            <a:rPr lang="es-ES" sz="900" i="1" baseline="0">
              <a:solidFill>
                <a:schemeClr val="tx2"/>
              </a:solidFill>
            </a:rPr>
            <a:t>La media ("mitjana") de las valoraciones de la pregunta va de 1 (muy en desacuerdo) a 5 (muy de acuerdo)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0.01286</cdr:x>
      <cdr:y>0.40225</cdr:y>
    </cdr:from>
    <cdr:to>
      <cdr:x>0.39143</cdr:x>
      <cdr:y>0.5573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85725" y="1704976"/>
          <a:ext cx="252412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0.01143</cdr:x>
      <cdr:y>0.39101</cdr:y>
    </cdr:from>
    <cdr:to>
      <cdr:x>0.39429</cdr:x>
      <cdr:y>0.54832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76200" y="1657352"/>
          <a:ext cx="2552700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0.01</cdr:x>
      <cdr:y>0.29905</cdr:y>
    </cdr:from>
    <cdr:to>
      <cdr:x>0.39429</cdr:x>
      <cdr:y>0.52291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66665" y="1475518"/>
          <a:ext cx="2562254" cy="1104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2.1.2</a:t>
          </a:r>
          <a:r>
            <a:rPr lang="es-ES" sz="900" baseline="0">
              <a:solidFill>
                <a:schemeClr val="tx2"/>
              </a:solidFill>
            </a:rPr>
            <a:t> El desenvolupament del projecte o proposta de tesi m'han permès integrar-me en els equips de recerca del departament o de l'institut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El desarrollo del proyecto o propuesta de tesis me han permitido integrarme en los equipos de investigación del departamento o del instituto.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3,2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0.00428</cdr:x>
      <cdr:y>0.85521</cdr:y>
    </cdr:from>
    <cdr:to>
      <cdr:x>0.98857</cdr:x>
      <cdr:y>0.99225</cdr:y>
    </cdr:to>
    <cdr:sp macro="" textlink="">
      <cdr:nvSpPr>
        <cdr:cNvPr id="5" name="QuadreDeText 4"/>
        <cdr:cNvSpPr txBox="1"/>
      </cdr:nvSpPr>
      <cdr:spPr>
        <a:xfrm xmlns:a="http://schemas.openxmlformats.org/drawingml/2006/main">
          <a:off x="28565" y="4219577"/>
          <a:ext cx="6562754" cy="676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tx2"/>
              </a:solidFill>
            </a:rPr>
            <a:t>La mitjana de les valoracions de la pregunta</a:t>
          </a:r>
          <a:r>
            <a:rPr lang="es-ES" sz="900" baseline="0">
              <a:solidFill>
                <a:schemeClr val="tx2"/>
              </a:solidFill>
            </a:rPr>
            <a:t> va de </a:t>
          </a:r>
          <a:r>
            <a:rPr lang="es-ES" sz="900" b="1" baseline="0">
              <a:solidFill>
                <a:schemeClr val="tx2"/>
              </a:solidFill>
            </a:rPr>
            <a:t>1 (molt en desacord) </a:t>
          </a:r>
          <a:r>
            <a:rPr lang="es-ES" sz="900" b="0" baseline="0">
              <a:solidFill>
                <a:schemeClr val="tx2"/>
              </a:solidFill>
            </a:rPr>
            <a:t>a </a:t>
          </a:r>
          <a:r>
            <a:rPr lang="es-ES" sz="900" b="1" baseline="0">
              <a:solidFill>
                <a:schemeClr val="tx2"/>
              </a:solidFill>
            </a:rPr>
            <a:t>5 (molt d'acord)</a:t>
          </a:r>
          <a:r>
            <a:rPr lang="es-ES" sz="900" b="0" baseline="0">
              <a:solidFill>
                <a:schemeClr val="tx2"/>
              </a:solidFill>
            </a:rPr>
            <a:t>. Els percentatges representen el pes de les respostes.</a:t>
          </a:r>
        </a:p>
        <a:p xmlns:a="http://schemas.openxmlformats.org/drawingml/2006/main">
          <a:r>
            <a:rPr lang="es-ES" sz="900" i="1">
              <a:solidFill>
                <a:schemeClr val="tx2"/>
              </a:solidFill>
            </a:rPr>
            <a:t>La media ("mitjana")</a:t>
          </a:r>
          <a:r>
            <a:rPr lang="es-ES" sz="900" i="1" baseline="0">
              <a:solidFill>
                <a:schemeClr val="tx2"/>
              </a:solidFill>
            </a:rPr>
            <a:t> de las valoraciones de la pregunta va de </a:t>
          </a:r>
          <a:r>
            <a:rPr lang="es-ES" sz="900" b="1" i="1" baseline="0">
              <a:solidFill>
                <a:schemeClr val="tx2"/>
              </a:solidFill>
            </a:rPr>
            <a:t>1 (muy en desacuerdo)</a:t>
          </a:r>
          <a:r>
            <a:rPr lang="es-ES" sz="900" b="0" i="1" baseline="0">
              <a:solidFill>
                <a:schemeClr val="tx2"/>
              </a:solidFill>
            </a:rPr>
            <a:t> a </a:t>
          </a:r>
          <a:r>
            <a:rPr lang="es-ES" sz="900" b="1" i="1" baseline="0">
              <a:solidFill>
                <a:schemeClr val="tx2"/>
              </a:solidFill>
            </a:rPr>
            <a:t>5 (muy de acuerdo)</a:t>
          </a:r>
          <a:r>
            <a:rPr lang="es-ES" sz="900" b="0" i="1" baseline="0">
              <a:solidFill>
                <a:schemeClr val="tx2"/>
              </a:solidFill>
            </a:rPr>
            <a:t>. Los porcentajes representan el peso de las respuestas.</a:t>
          </a:r>
          <a:endParaRPr lang="es-ES" sz="900" i="1">
            <a:solidFill>
              <a:schemeClr val="tx2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0.01282</cdr:x>
      <cdr:y>0.16701</cdr:y>
    </cdr:from>
    <cdr:to>
      <cdr:x>0.33333</cdr:x>
      <cdr:y>0.33196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85725" y="771526"/>
          <a:ext cx="2143125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0.00997</cdr:x>
      <cdr:y>0.13689</cdr:y>
    </cdr:from>
    <cdr:to>
      <cdr:x>0.3661</cdr:x>
      <cdr:y>0.31555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66665" y="561975"/>
          <a:ext cx="2381260" cy="7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2.1.1 El projecte o proposta de tesi m'han estat útils per iniciar-me en la recerca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  <a:latin typeface="+mn-lt"/>
              <a:ea typeface="+mn-ea"/>
              <a:cs typeface="+mn-cs"/>
            </a:rPr>
            <a:t>El proyecyo o propuesta de tesis me han sido útiles para iniciar-me</a:t>
          </a:r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 en la investigación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0.0057</cdr:x>
      <cdr:y>0.32251</cdr:y>
    </cdr:from>
    <cdr:to>
      <cdr:x>0.36752</cdr:x>
      <cdr:y>0.61263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38112" y="1323975"/>
          <a:ext cx="2419337" cy="1191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2.1.2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El desenvolupament del projecte o proposta de tesi m'han permès integrar-me en els equips de recerca del departament o de l'institut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El desarrollo del proyecto o propuesta de tesis me han permitido integrarme en los equipos de investigación del departamento o del instituto.</a:t>
          </a:r>
          <a:endParaRPr lang="es-ES" sz="900">
            <a:solidFill>
              <a:schemeClr val="tx2"/>
            </a:solidFill>
          </a:endParaRPr>
        </a:p>
        <a:p xmlns:a="http://schemas.openxmlformats.org/drawingml/2006/main">
          <a:endParaRPr lang="es-ES" sz="900">
            <a:solidFill>
              <a:schemeClr val="tx2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</xdr:row>
      <xdr:rowOff>85724</xdr:rowOff>
    </xdr:from>
    <xdr:to>
      <xdr:col>13</xdr:col>
      <xdr:colOff>352425</xdr:colOff>
      <xdr:row>34</xdr:row>
      <xdr:rowOff>180975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23</xdr:row>
      <xdr:rowOff>171450</xdr:rowOff>
    </xdr:from>
    <xdr:to>
      <xdr:col>5</xdr:col>
      <xdr:colOff>381000</xdr:colOff>
      <xdr:row>28</xdr:row>
      <xdr:rowOff>76200</xdr:rowOff>
    </xdr:to>
    <xdr:sp macro="" textlink="">
      <xdr:nvSpPr>
        <xdr:cNvPr id="3" name="QuadreDeText 2"/>
        <xdr:cNvSpPr txBox="1"/>
      </xdr:nvSpPr>
      <xdr:spPr>
        <a:xfrm>
          <a:off x="361950" y="4171950"/>
          <a:ext cx="306705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</a:rPr>
            <a:t>3.1.5 El suport que rebo del director/a de tesi per</a:t>
          </a:r>
          <a:r>
            <a:rPr lang="es-ES" sz="900" baseline="0">
              <a:solidFill>
                <a:schemeClr val="tx2"/>
              </a:solidFill>
            </a:rPr>
            <a:t> dur-la a terme és adequat</a:t>
          </a:r>
        </a:p>
        <a:p>
          <a:pPr algn="ctr"/>
          <a:r>
            <a:rPr lang="es-ES" sz="900" i="1" baseline="0">
              <a:solidFill>
                <a:schemeClr val="tx2"/>
              </a:solidFill>
            </a:rPr>
            <a:t>El apoyo que recibo del director/a de tesis para acabarla es adecuado.</a:t>
          </a:r>
          <a:endParaRPr lang="es-ES" sz="800" i="1" baseline="0">
            <a:solidFill>
              <a:schemeClr val="tx2"/>
            </a:solidFill>
          </a:endParaRPr>
        </a:p>
        <a:p>
          <a:pPr algn="ctr"/>
          <a:r>
            <a:rPr lang="es-ES" sz="900" b="1" i="1" baseline="0">
              <a:solidFill>
                <a:schemeClr val="tx2"/>
              </a:solidFill>
            </a:rPr>
            <a:t>Mitjana: 4</a:t>
          </a:r>
          <a:endParaRPr lang="es-ES" sz="900" b="1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323850</xdr:colOff>
      <xdr:row>32</xdr:row>
      <xdr:rowOff>104775</xdr:rowOff>
    </xdr:from>
    <xdr:to>
      <xdr:col>13</xdr:col>
      <xdr:colOff>219075</xdr:colOff>
      <xdr:row>34</xdr:row>
      <xdr:rowOff>104775</xdr:rowOff>
    </xdr:to>
    <xdr:sp macro="" textlink="">
      <xdr:nvSpPr>
        <xdr:cNvPr id="4" name="QuadreDeText 3"/>
        <xdr:cNvSpPr txBox="1"/>
      </xdr:nvSpPr>
      <xdr:spPr>
        <a:xfrm>
          <a:off x="323850" y="5819775"/>
          <a:ext cx="78200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ES" sz="900">
              <a:solidFill>
                <a:schemeClr val="tx2"/>
              </a:solidFill>
            </a:rPr>
            <a:t>La mitjana de les valoracions de</a:t>
          </a:r>
          <a:r>
            <a:rPr lang="es-ES" sz="900" baseline="0">
              <a:solidFill>
                <a:schemeClr val="tx2"/>
              </a:solidFill>
            </a:rPr>
            <a:t> la pregunta va de </a:t>
          </a:r>
          <a:r>
            <a:rPr lang="es-ES" sz="900" b="1" baseline="0">
              <a:solidFill>
                <a:schemeClr val="tx2"/>
              </a:solidFill>
            </a:rPr>
            <a:t>1 (molt en desacord) </a:t>
          </a:r>
          <a:r>
            <a:rPr lang="es-ES" sz="900" b="0" baseline="0">
              <a:solidFill>
                <a:schemeClr val="tx2"/>
              </a:solidFill>
            </a:rPr>
            <a:t>a </a:t>
          </a:r>
          <a:r>
            <a:rPr lang="es-ES" sz="900" b="1" baseline="0">
              <a:solidFill>
                <a:schemeClr val="tx2"/>
              </a:solidFill>
            </a:rPr>
            <a:t>5 (molt d'acord)</a:t>
          </a:r>
          <a:r>
            <a:rPr lang="es-ES" sz="900" b="0" baseline="0">
              <a:solidFill>
                <a:schemeClr val="tx2"/>
              </a:solidFill>
            </a:rPr>
            <a:t>. Els percentatges representen el pes de les respostes.</a:t>
          </a:r>
        </a:p>
        <a:p>
          <a:pPr algn="l"/>
          <a:r>
            <a:rPr lang="es-ES" sz="900" b="0" i="1" baseline="0">
              <a:solidFill>
                <a:schemeClr val="tx2"/>
              </a:solidFill>
            </a:rPr>
            <a:t>La media ("mitjana") de las valoraciones de la pregunta va de </a:t>
          </a:r>
          <a:r>
            <a:rPr lang="es-ES" sz="900" b="1" i="1" baseline="0">
              <a:solidFill>
                <a:schemeClr val="tx2"/>
              </a:solidFill>
            </a:rPr>
            <a:t>1 (muy en desacuerdo) </a:t>
          </a:r>
          <a:r>
            <a:rPr lang="es-ES" sz="900" b="0" i="1" baseline="0">
              <a:solidFill>
                <a:schemeClr val="tx2"/>
              </a:solidFill>
            </a:rPr>
            <a:t>a </a:t>
          </a:r>
          <a:r>
            <a:rPr lang="es-ES" sz="900" b="1" i="1" baseline="0">
              <a:solidFill>
                <a:schemeClr val="tx2"/>
              </a:solidFill>
            </a:rPr>
            <a:t>5 (muy de acuerdo)</a:t>
          </a:r>
          <a:r>
            <a:rPr lang="es-ES" sz="900" b="0" i="1" baseline="0">
              <a:solidFill>
                <a:schemeClr val="tx2"/>
              </a:solidFill>
            </a:rPr>
            <a:t>. Los porcentages representan el peso de las respuestas.</a:t>
          </a:r>
          <a:endParaRPr lang="es-ES" sz="900" i="1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228599</xdr:colOff>
      <xdr:row>37</xdr:row>
      <xdr:rowOff>161926</xdr:rowOff>
    </xdr:from>
    <xdr:to>
      <xdr:col>13</xdr:col>
      <xdr:colOff>276224</xdr:colOff>
      <xdr:row>68</xdr:row>
      <xdr:rowOff>28576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46</xdr:row>
      <xdr:rowOff>9525</xdr:rowOff>
    </xdr:from>
    <xdr:to>
      <xdr:col>5</xdr:col>
      <xdr:colOff>171450</xdr:colOff>
      <xdr:row>50</xdr:row>
      <xdr:rowOff>28575</xdr:rowOff>
    </xdr:to>
    <xdr:sp macro="" textlink="">
      <xdr:nvSpPr>
        <xdr:cNvPr id="6" name="QuadreDeText 5"/>
        <xdr:cNvSpPr txBox="1"/>
      </xdr:nvSpPr>
      <xdr:spPr>
        <a:xfrm>
          <a:off x="295275" y="8391525"/>
          <a:ext cx="2924175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3.1.2 La utilitat dels cursos o seminaris realitzats per a l'elaboració de la tesi ha estat valuosa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>
              <a:solidFill>
                <a:schemeClr val="tx2"/>
              </a:solidFill>
              <a:latin typeface="+mn-lt"/>
              <a:ea typeface="+mn-ea"/>
              <a:cs typeface="+mn-cs"/>
            </a:rPr>
            <a:t>La utilidad</a:t>
          </a:r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 de los cursos o seminarios realizados para la elaboración de la tesis ha sido valuosa.</a:t>
          </a:r>
          <a:endParaRPr lang="es-ES" sz="900">
            <a:solidFill>
              <a:schemeClr val="tx2"/>
            </a:solidFill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333375</xdr:colOff>
      <xdr:row>50</xdr:row>
      <xdr:rowOff>180975</xdr:rowOff>
    </xdr:from>
    <xdr:to>
      <xdr:col>5</xdr:col>
      <xdr:colOff>190500</xdr:colOff>
      <xdr:row>54</xdr:row>
      <xdr:rowOff>171449</xdr:rowOff>
    </xdr:to>
    <xdr:sp macro="" textlink="">
      <xdr:nvSpPr>
        <xdr:cNvPr id="7" name="QuadreDeText 6"/>
        <xdr:cNvSpPr txBox="1"/>
      </xdr:nvSpPr>
      <xdr:spPr>
        <a:xfrm>
          <a:off x="333375" y="9324975"/>
          <a:ext cx="2905125" cy="752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3.1.3 Si heu realitzat algun treball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de recerca, la seva utilitat per a l'elaboració de la tesi ha estat important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Si ha realizado algun trabajo de investigación, su utilidad para la elaboración de la tesis ha sido importante.</a:t>
          </a:r>
          <a:endParaRPr lang="es-ES" sz="900">
            <a:solidFill>
              <a:schemeClr val="tx2"/>
            </a:solidFill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276225</xdr:colOff>
      <xdr:row>56</xdr:row>
      <xdr:rowOff>171450</xdr:rowOff>
    </xdr:from>
    <xdr:to>
      <xdr:col>5</xdr:col>
      <xdr:colOff>133350</xdr:colOff>
      <xdr:row>59</xdr:row>
      <xdr:rowOff>9525</xdr:rowOff>
    </xdr:to>
    <xdr:sp macro="" textlink="">
      <xdr:nvSpPr>
        <xdr:cNvPr id="8" name="QuadreDeText 7"/>
        <xdr:cNvSpPr txBox="1"/>
      </xdr:nvSpPr>
      <xdr:spPr>
        <a:xfrm>
          <a:off x="276225" y="10458450"/>
          <a:ext cx="2905125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3.1.4 M'ha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estat fàcil trobar el/la director/a de tesi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Me ha resultado fácil encontrar el/la director/a de tesis.</a:t>
          </a:r>
          <a:endParaRPr lang="es-ES" sz="900">
            <a:solidFill>
              <a:schemeClr val="tx2"/>
            </a:solidFill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266700</xdr:colOff>
      <xdr:row>61</xdr:row>
      <xdr:rowOff>66675</xdr:rowOff>
    </xdr:from>
    <xdr:to>
      <xdr:col>5</xdr:col>
      <xdr:colOff>133350</xdr:colOff>
      <xdr:row>64</xdr:row>
      <xdr:rowOff>161925</xdr:rowOff>
    </xdr:to>
    <xdr:sp macro="" textlink="">
      <xdr:nvSpPr>
        <xdr:cNvPr id="9" name="QuadreDeText 8"/>
        <xdr:cNvSpPr txBox="1"/>
      </xdr:nvSpPr>
      <xdr:spPr>
        <a:xfrm>
          <a:off x="266700" y="11306175"/>
          <a:ext cx="2914650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900">
              <a:solidFill>
                <a:schemeClr val="tx2"/>
              </a:solidFill>
              <a:latin typeface="+mn-lt"/>
              <a:ea typeface="+mn-ea"/>
              <a:cs typeface="+mn-cs"/>
            </a:rPr>
            <a:t>3.1.5 El suport que rebo del director/a de tesi per</a:t>
          </a:r>
          <a:r>
            <a:rPr lang="es-ES" sz="900" baseline="0">
              <a:solidFill>
                <a:schemeClr val="tx2"/>
              </a:solidFill>
              <a:latin typeface="+mn-lt"/>
              <a:ea typeface="+mn-ea"/>
              <a:cs typeface="+mn-cs"/>
            </a:rPr>
            <a:t> dur-la a terme és adequat</a:t>
          </a:r>
          <a:endParaRPr lang="es-ES" sz="900">
            <a:solidFill>
              <a:schemeClr val="tx2"/>
            </a:solidFill>
          </a:endParaRPr>
        </a:p>
        <a:p>
          <a:pPr algn="ctr"/>
          <a:r>
            <a:rPr lang="es-ES" sz="900" i="1" baseline="0">
              <a:solidFill>
                <a:schemeClr val="tx2"/>
              </a:solidFill>
              <a:latin typeface="+mn-lt"/>
              <a:ea typeface="+mn-ea"/>
              <a:cs typeface="+mn-cs"/>
            </a:rPr>
            <a:t>El apoyo que recibo del director/a de tesis para acabarla es adecuado.</a:t>
          </a:r>
          <a:endParaRPr lang="es-ES" sz="9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219075</xdr:colOff>
      <xdr:row>70</xdr:row>
      <xdr:rowOff>123824</xdr:rowOff>
    </xdr:from>
    <xdr:to>
      <xdr:col>13</xdr:col>
      <xdr:colOff>238125</xdr:colOff>
      <xdr:row>101</xdr:row>
      <xdr:rowOff>57150</xdr:rowOff>
    </xdr:to>
    <xdr:graphicFrame macro="">
      <xdr:nvGraphicFramePr>
        <xdr:cNvPr id="10" name="Gràfic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0.0122</cdr:x>
      <cdr:y>0.09216</cdr:y>
    </cdr:from>
    <cdr:to>
      <cdr:x>0.41328</cdr:x>
      <cdr:y>0.21321</cdr:y>
    </cdr:to>
    <cdr:sp macro="" textlink="">
      <cdr:nvSpPr>
        <cdr:cNvPr id="2" name="QuadreDeText 1"/>
        <cdr:cNvSpPr txBox="1"/>
      </cdr:nvSpPr>
      <cdr:spPr>
        <a:xfrm xmlns:a="http://schemas.openxmlformats.org/drawingml/2006/main">
          <a:off x="85725" y="638177"/>
          <a:ext cx="2819400" cy="83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0.01202</cdr:x>
      <cdr:y>0.07565</cdr:y>
    </cdr:from>
    <cdr:to>
      <cdr:x>0.41446</cdr:x>
      <cdr:y>0.21587</cdr:y>
    </cdr:to>
    <cdr:sp macro="" textlink="">
      <cdr:nvSpPr>
        <cdr:cNvPr id="3" name="QuadreDeText 2"/>
        <cdr:cNvSpPr txBox="1"/>
      </cdr:nvSpPr>
      <cdr:spPr>
        <a:xfrm xmlns:a="http://schemas.openxmlformats.org/drawingml/2006/main">
          <a:off x="96875" y="453979"/>
          <a:ext cx="3242922" cy="841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3.1.1</a:t>
          </a:r>
          <a:r>
            <a:rPr lang="es-ES" sz="900" baseline="0">
              <a:solidFill>
                <a:schemeClr val="tx2"/>
              </a:solidFill>
            </a:rPr>
            <a:t> L'orientació rebuda i el suport per part del tutor/a per elegir el tema del projecte o proposta de tesi ha estat útil.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La orienctación recibida y el apoyo por parte del tutor/a para elegir el tema del proyecto o la propuesta de tesis ha sido útil.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4,1</a:t>
          </a:r>
          <a:endParaRPr lang="es-ES" sz="10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0.00594</cdr:x>
      <cdr:y>0.21882</cdr:y>
    </cdr:from>
    <cdr:to>
      <cdr:x>0.41108</cdr:x>
      <cdr:y>0.36032</cdr:y>
    </cdr:to>
    <cdr:sp macro="" textlink="">
      <cdr:nvSpPr>
        <cdr:cNvPr id="4" name="QuadreDeText 3"/>
        <cdr:cNvSpPr txBox="1"/>
      </cdr:nvSpPr>
      <cdr:spPr>
        <a:xfrm xmlns:a="http://schemas.openxmlformats.org/drawingml/2006/main">
          <a:off x="47897" y="1313069"/>
          <a:ext cx="3264679" cy="849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3.1.2 La utilitat dels cursos o seminaris realitzats per a l'elaboració de la tesi ha estat valuosa</a:t>
          </a:r>
        </a:p>
        <a:p xmlns:a="http://schemas.openxmlformats.org/drawingml/2006/main">
          <a:pPr algn="ctr"/>
          <a:r>
            <a:rPr lang="es-ES" sz="900" i="1">
              <a:solidFill>
                <a:schemeClr val="tx2"/>
              </a:solidFill>
            </a:rPr>
            <a:t>La utilidad</a:t>
          </a:r>
          <a:r>
            <a:rPr lang="es-ES" sz="900" i="1" baseline="0">
              <a:solidFill>
                <a:schemeClr val="tx2"/>
              </a:solidFill>
            </a:rPr>
            <a:t> de los cursos o seminarios realizados para la elaboración de la tesis ha sido valuosa.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3,4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0.00796</cdr:x>
      <cdr:y>0.37235</cdr:y>
    </cdr:from>
    <cdr:to>
      <cdr:x>0.41446</cdr:x>
      <cdr:y>0.51111</cdr:y>
    </cdr:to>
    <cdr:sp macro="" textlink="">
      <cdr:nvSpPr>
        <cdr:cNvPr id="5" name="QuadreDeText 4"/>
        <cdr:cNvSpPr txBox="1"/>
      </cdr:nvSpPr>
      <cdr:spPr>
        <a:xfrm xmlns:a="http://schemas.openxmlformats.org/drawingml/2006/main">
          <a:off x="64159" y="2234366"/>
          <a:ext cx="3275638" cy="832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3.1.3 Si heu realitzat algun treball</a:t>
          </a:r>
          <a:r>
            <a:rPr lang="es-ES" sz="900" baseline="0">
              <a:solidFill>
                <a:schemeClr val="tx2"/>
              </a:solidFill>
            </a:rPr>
            <a:t> de recerca, la seva utilitat per a l'elaboració de la tesi ha estat important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Si ha realizado algun trabajo de investigación, su utilidad para la elaboración de la tesis ha sido importante.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3,9</a:t>
          </a:r>
          <a:endParaRPr lang="es-ES" sz="900" b="1" i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0.00577</cdr:x>
      <cdr:y>0.52492</cdr:y>
    </cdr:from>
    <cdr:to>
      <cdr:x>0.41092</cdr:x>
      <cdr:y>0.61433</cdr:y>
    </cdr:to>
    <cdr:sp macro="" textlink="">
      <cdr:nvSpPr>
        <cdr:cNvPr id="6" name="QuadreDeText 5"/>
        <cdr:cNvSpPr txBox="1"/>
      </cdr:nvSpPr>
      <cdr:spPr>
        <a:xfrm xmlns:a="http://schemas.openxmlformats.org/drawingml/2006/main">
          <a:off x="46463" y="3149932"/>
          <a:ext cx="3264759" cy="536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900">
              <a:solidFill>
                <a:schemeClr val="tx2"/>
              </a:solidFill>
            </a:rPr>
            <a:t>3.1.4 M'ha</a:t>
          </a:r>
          <a:r>
            <a:rPr lang="es-ES" sz="900" baseline="0">
              <a:solidFill>
                <a:schemeClr val="tx2"/>
              </a:solidFill>
            </a:rPr>
            <a:t> estat fàcil trobar el/la director/a de tesi</a:t>
          </a:r>
        </a:p>
        <a:p xmlns:a="http://schemas.openxmlformats.org/drawingml/2006/main">
          <a:pPr algn="ctr"/>
          <a:r>
            <a:rPr lang="es-ES" sz="900" i="1" baseline="0">
              <a:solidFill>
                <a:schemeClr val="tx2"/>
              </a:solidFill>
            </a:rPr>
            <a:t>Me ha resultado fácil encontrar el/la director/a de tesis.</a:t>
          </a:r>
        </a:p>
        <a:p xmlns:a="http://schemas.openxmlformats.org/drawingml/2006/main">
          <a:pPr algn="ctr"/>
          <a:r>
            <a:rPr lang="es-ES" sz="900" b="1" i="1" baseline="0">
              <a:solidFill>
                <a:schemeClr val="tx2"/>
              </a:solidFill>
            </a:rPr>
            <a:t>Mitjana: 4,3</a:t>
          </a:r>
          <a:endParaRPr lang="es-ES" sz="900" b="1" i="1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showGridLines="0" tabSelected="1" topLeftCell="A22" workbookViewId="0">
      <selection activeCell="L30" sqref="L30"/>
    </sheetView>
  </sheetViews>
  <sheetFormatPr defaultRowHeight="15" x14ac:dyDescent="0.25"/>
  <cols>
    <col min="12" max="12" width="26.5703125" style="2" customWidth="1"/>
    <col min="13" max="13" width="9.140625" style="2"/>
    <col min="14" max="14" width="9.5703125" style="2" bestFit="1" customWidth="1"/>
    <col min="15" max="16" width="10.140625" style="2" bestFit="1" customWidth="1"/>
    <col min="17" max="18" width="9.5703125" style="2" bestFit="1" customWidth="1"/>
    <col min="19" max="19" width="9.28515625" style="2" customWidth="1"/>
  </cols>
  <sheetData>
    <row r="2" spans="1:21" ht="28.5" customHeight="1" x14ac:dyDescent="0.35">
      <c r="A2" s="26" t="s">
        <v>69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5" spans="1:21" x14ac:dyDescent="0.25">
      <c r="K5" s="2"/>
      <c r="T5" s="1"/>
      <c r="U5" s="1"/>
    </row>
    <row r="6" spans="1:21" x14ac:dyDescent="0.25">
      <c r="K6" s="2"/>
      <c r="T6" s="1"/>
      <c r="U6" s="1"/>
    </row>
    <row r="7" spans="1:21" x14ac:dyDescent="0.25">
      <c r="K7" s="2"/>
      <c r="M7" s="2" t="s">
        <v>1</v>
      </c>
      <c r="N7" s="2">
        <v>2</v>
      </c>
      <c r="O7" s="2">
        <v>3</v>
      </c>
      <c r="P7" s="2">
        <v>4</v>
      </c>
      <c r="Q7" s="2" t="s">
        <v>2</v>
      </c>
      <c r="R7" s="2" t="s">
        <v>3</v>
      </c>
      <c r="T7" s="1"/>
      <c r="U7" s="1"/>
    </row>
    <row r="8" spans="1:21" x14ac:dyDescent="0.25">
      <c r="K8" s="2"/>
      <c r="L8" s="3" t="s">
        <v>40</v>
      </c>
      <c r="M8" s="4">
        <f>32/655</f>
        <v>4.8854961832061068E-2</v>
      </c>
      <c r="N8" s="4">
        <f>84/655</f>
        <v>0.12824427480916031</v>
      </c>
      <c r="O8" s="4">
        <f>154/655</f>
        <v>0.23511450381679388</v>
      </c>
      <c r="P8" s="4">
        <f>206/655</f>
        <v>0.31450381679389311</v>
      </c>
      <c r="Q8" s="4">
        <f>179/655</f>
        <v>0.2732824427480916</v>
      </c>
      <c r="R8" s="5">
        <f>(32*1+84*2+154*3+206*4+179*5)/655</f>
        <v>3.6351145038167938</v>
      </c>
      <c r="T8" s="1"/>
      <c r="U8" s="1"/>
    </row>
    <row r="9" spans="1:21" x14ac:dyDescent="0.25">
      <c r="K9" s="2"/>
      <c r="L9" s="2" t="s">
        <v>0</v>
      </c>
      <c r="M9" s="4">
        <f>73/646</f>
        <v>0.1130030959752322</v>
      </c>
      <c r="N9" s="4">
        <f>93/646</f>
        <v>0.14396284829721362</v>
      </c>
      <c r="O9" s="4">
        <f>149/646</f>
        <v>0.23065015479876161</v>
      </c>
      <c r="P9" s="4">
        <f>171/646</f>
        <v>0.26470588235294118</v>
      </c>
      <c r="Q9" s="4">
        <f>160/646</f>
        <v>0.24767801857585139</v>
      </c>
      <c r="R9" s="5">
        <f>(73*1+93*2+149*3+171*4+160*5)/646</f>
        <v>3.390092879256966</v>
      </c>
      <c r="T9" s="1"/>
      <c r="U9" s="1"/>
    </row>
    <row r="10" spans="1:21" x14ac:dyDescent="0.25">
      <c r="K10" s="2"/>
      <c r="T10" s="1"/>
      <c r="U10" s="1"/>
    </row>
    <row r="11" spans="1:21" x14ac:dyDescent="0.25">
      <c r="K11" s="2"/>
      <c r="T11" s="1"/>
      <c r="U11" s="1"/>
    </row>
    <row r="12" spans="1:21" x14ac:dyDescent="0.25">
      <c r="K12" s="2"/>
      <c r="T12" s="1"/>
      <c r="U12" s="1"/>
    </row>
    <row r="13" spans="1:21" x14ac:dyDescent="0.25">
      <c r="T13" s="1"/>
      <c r="U13" s="1"/>
    </row>
    <row r="14" spans="1:21" x14ac:dyDescent="0.25">
      <c r="T14" s="1"/>
      <c r="U14" s="1"/>
    </row>
    <row r="15" spans="1:21" x14ac:dyDescent="0.25">
      <c r="T15" s="1"/>
      <c r="U15" s="1"/>
    </row>
    <row r="16" spans="1:21" x14ac:dyDescent="0.25">
      <c r="T16" s="1"/>
      <c r="U16" s="1"/>
    </row>
    <row r="17" spans="13:21" x14ac:dyDescent="0.25">
      <c r="T17" s="1"/>
      <c r="U17" s="1"/>
    </row>
    <row r="18" spans="13:21" x14ac:dyDescent="0.25">
      <c r="O18" s="50"/>
      <c r="T18" s="1"/>
      <c r="U18" s="1"/>
    </row>
    <row r="28" spans="13:21" x14ac:dyDescent="0.25">
      <c r="T28" s="2"/>
    </row>
    <row r="29" spans="13:21" x14ac:dyDescent="0.25">
      <c r="T29" s="2"/>
    </row>
    <row r="30" spans="13:21" x14ac:dyDescent="0.25">
      <c r="N30" s="2" t="s">
        <v>1</v>
      </c>
      <c r="O30" s="2">
        <v>2</v>
      </c>
      <c r="P30" s="2">
        <v>3</v>
      </c>
      <c r="Q30" s="2">
        <v>4</v>
      </c>
      <c r="R30" s="2" t="s">
        <v>2</v>
      </c>
      <c r="S30" s="2" t="s">
        <v>3</v>
      </c>
      <c r="T30" s="2"/>
    </row>
    <row r="31" spans="13:21" x14ac:dyDescent="0.25">
      <c r="M31" s="3" t="s">
        <v>6</v>
      </c>
      <c r="N31" s="4">
        <f>(12/295)</f>
        <v>4.0677966101694912E-2</v>
      </c>
      <c r="O31" s="4">
        <f>36/295</f>
        <v>0.12203389830508475</v>
      </c>
      <c r="P31" s="4">
        <f>79/295</f>
        <v>0.26779661016949152</v>
      </c>
      <c r="Q31" s="4">
        <f>86/82</f>
        <v>1.0487804878048781</v>
      </c>
      <c r="R31" s="4">
        <f>82/295</f>
        <v>0.27796610169491526</v>
      </c>
      <c r="S31" s="5">
        <f>(12*1+36*2+79*3+86*4+82*5)/295</f>
        <v>3.6440677966101696</v>
      </c>
      <c r="T31" s="2"/>
    </row>
    <row r="32" spans="13:21" x14ac:dyDescent="0.25">
      <c r="M32" s="2" t="s">
        <v>0</v>
      </c>
      <c r="N32" s="4">
        <f>38/290</f>
        <v>0.1310344827586207</v>
      </c>
      <c r="O32" s="4">
        <f>35/290</f>
        <v>0.1206896551724138</v>
      </c>
      <c r="P32" s="4">
        <f>72/290</f>
        <v>0.24827586206896551</v>
      </c>
      <c r="Q32" s="4">
        <f>68/290</f>
        <v>0.23448275862068965</v>
      </c>
      <c r="R32" s="4">
        <f>77/290</f>
        <v>0.26551724137931032</v>
      </c>
      <c r="S32" s="5">
        <f>(38*1+35*2+72*3+68*4+77*5)/290</f>
        <v>3.3827586206896552</v>
      </c>
      <c r="T32" s="2"/>
    </row>
    <row r="33" spans="14:20" x14ac:dyDescent="0.25">
      <c r="T33" s="2"/>
    </row>
    <row r="45" spans="14:20" x14ac:dyDescent="0.25">
      <c r="O45" s="2" t="s">
        <v>4</v>
      </c>
      <c r="P45" s="2" t="s">
        <v>5</v>
      </c>
    </row>
    <row r="46" spans="14:20" x14ac:dyDescent="0.25">
      <c r="N46" s="2">
        <v>1</v>
      </c>
      <c r="O46" s="6">
        <v>330</v>
      </c>
      <c r="P46" s="6">
        <v>84</v>
      </c>
    </row>
    <row r="47" spans="14:20" x14ac:dyDescent="0.25">
      <c r="N47" s="2">
        <v>2</v>
      </c>
      <c r="O47" s="6">
        <v>124</v>
      </c>
      <c r="P47" s="6">
        <v>209</v>
      </c>
    </row>
    <row r="48" spans="14:20" x14ac:dyDescent="0.25">
      <c r="N48" s="2">
        <v>3</v>
      </c>
      <c r="O48" s="6">
        <v>367</v>
      </c>
      <c r="P48" s="6">
        <v>73</v>
      </c>
    </row>
    <row r="49" spans="14:16" x14ac:dyDescent="0.25">
      <c r="N49" s="2">
        <v>4</v>
      </c>
      <c r="O49" s="6">
        <v>244</v>
      </c>
      <c r="P49" s="6">
        <v>121</v>
      </c>
    </row>
    <row r="50" spans="14:16" x14ac:dyDescent="0.25">
      <c r="N50" s="2">
        <v>5</v>
      </c>
      <c r="O50" s="6">
        <v>286</v>
      </c>
      <c r="P50" s="6">
        <v>79</v>
      </c>
    </row>
    <row r="51" spans="14:16" x14ac:dyDescent="0.25">
      <c r="N51" s="2">
        <v>6</v>
      </c>
      <c r="O51" s="6">
        <v>182</v>
      </c>
      <c r="P51" s="6">
        <v>156</v>
      </c>
    </row>
    <row r="52" spans="14:16" x14ac:dyDescent="0.25">
      <c r="N52" s="2">
        <v>7</v>
      </c>
      <c r="O52" s="6">
        <v>173</v>
      </c>
      <c r="P52" s="6">
        <v>155</v>
      </c>
    </row>
    <row r="53" spans="14:16" x14ac:dyDescent="0.25">
      <c r="N53" s="2">
        <v>8</v>
      </c>
      <c r="O53" s="6">
        <v>395</v>
      </c>
      <c r="P53" s="6">
        <v>52</v>
      </c>
    </row>
    <row r="54" spans="14:16" x14ac:dyDescent="0.25">
      <c r="N54" s="2">
        <v>9</v>
      </c>
      <c r="O54" s="6">
        <v>227</v>
      </c>
      <c r="P54" s="6">
        <v>75</v>
      </c>
    </row>
  </sheetData>
  <mergeCells count="1">
    <mergeCell ref="A2:K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workbookViewId="0">
      <selection activeCell="O4" sqref="O4"/>
    </sheetView>
  </sheetViews>
  <sheetFormatPr defaultRowHeight="15" x14ac:dyDescent="0.25"/>
  <sheetData>
    <row r="2" spans="1:21" ht="27" customHeight="1" x14ac:dyDescent="0.35">
      <c r="A2" s="26" t="s">
        <v>70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8" spans="1:21" x14ac:dyDescent="0.25">
      <c r="N8" s="1"/>
      <c r="O8" s="1"/>
      <c r="P8" s="1"/>
      <c r="Q8" s="1"/>
      <c r="R8" s="1"/>
      <c r="S8" s="1"/>
      <c r="T8" s="1"/>
      <c r="U8" s="1"/>
    </row>
    <row r="9" spans="1:21" x14ac:dyDescent="0.25">
      <c r="N9" s="1"/>
      <c r="O9" s="1"/>
      <c r="P9" s="1"/>
      <c r="Q9" s="1"/>
      <c r="R9" s="1"/>
      <c r="S9" s="1"/>
      <c r="T9" s="1"/>
      <c r="U9" s="1"/>
    </row>
    <row r="10" spans="1:21" x14ac:dyDescent="0.25">
      <c r="N10" s="1"/>
      <c r="O10" s="1"/>
      <c r="P10" s="1"/>
      <c r="Q10" s="1"/>
      <c r="R10" s="1"/>
      <c r="S10" s="1"/>
      <c r="T10" s="1"/>
      <c r="U10" s="1"/>
    </row>
    <row r="11" spans="1:21" x14ac:dyDescent="0.25">
      <c r="N11" s="2"/>
      <c r="O11" s="2"/>
      <c r="P11" s="2"/>
      <c r="Q11" s="2"/>
      <c r="R11" s="2"/>
      <c r="S11" s="2"/>
      <c r="T11" s="2"/>
      <c r="U11" s="2"/>
    </row>
    <row r="12" spans="1:21" x14ac:dyDescent="0.25">
      <c r="N12" s="2"/>
      <c r="O12" s="2" t="s">
        <v>1</v>
      </c>
      <c r="P12" s="2">
        <v>2</v>
      </c>
      <c r="Q12" s="2">
        <v>3</v>
      </c>
      <c r="R12" s="2">
        <v>4</v>
      </c>
      <c r="S12" s="2" t="s">
        <v>2</v>
      </c>
      <c r="T12" s="2" t="s">
        <v>3</v>
      </c>
      <c r="U12" s="2"/>
    </row>
    <row r="13" spans="1:21" x14ac:dyDescent="0.25">
      <c r="N13" s="3">
        <v>1</v>
      </c>
      <c r="O13" s="4">
        <f>34/915</f>
        <v>3.7158469945355189E-2</v>
      </c>
      <c r="P13" s="4">
        <f>67/915</f>
        <v>7.3224043715846995E-2</v>
      </c>
      <c r="Q13" s="4">
        <f>144/915</f>
        <v>0.15737704918032788</v>
      </c>
      <c r="R13" s="4">
        <f>245/915</f>
        <v>0.26775956284153007</v>
      </c>
      <c r="S13" s="4">
        <f>425/915</f>
        <v>0.46448087431693991</v>
      </c>
      <c r="T13" s="5">
        <f>(34*1+67*2+144*3+245*4+425*5)/915</f>
        <v>4.0491803278688527</v>
      </c>
      <c r="U13" s="2"/>
    </row>
    <row r="14" spans="1:21" x14ac:dyDescent="0.25">
      <c r="N14" s="2">
        <v>2</v>
      </c>
      <c r="O14" s="4">
        <f>175/885</f>
        <v>0.19774011299435029</v>
      </c>
      <c r="P14" s="4">
        <f>143/885</f>
        <v>0.16158192090395479</v>
      </c>
      <c r="Q14" s="4">
        <f>161/885</f>
        <v>0.18192090395480226</v>
      </c>
      <c r="R14" s="4">
        <f>177/885</f>
        <v>0.2</v>
      </c>
      <c r="S14" s="4">
        <f>229/885</f>
        <v>0.25875706214689265</v>
      </c>
      <c r="T14" s="5">
        <f>(175*1+143*2+161*3+177*4+229*5)/885</f>
        <v>3.1604519774011299</v>
      </c>
      <c r="U14" s="2"/>
    </row>
    <row r="15" spans="1:21" x14ac:dyDescent="0.25">
      <c r="N15" s="2">
        <v>3</v>
      </c>
      <c r="O15" s="4">
        <f>39/910</f>
        <v>4.2857142857142858E-2</v>
      </c>
      <c r="P15" s="4">
        <f>41/910</f>
        <v>4.5054945054945054E-2</v>
      </c>
      <c r="Q15" s="4">
        <f>115/910</f>
        <v>0.12637362637362637</v>
      </c>
      <c r="R15" s="4">
        <f>217/910</f>
        <v>0.23846153846153847</v>
      </c>
      <c r="S15" s="4">
        <f>498/910</f>
        <v>0.54725274725274731</v>
      </c>
      <c r="T15" s="5">
        <f>(39*1+41*2+115*3+217*4+498*5)/910</f>
        <v>4.2021978021978024</v>
      </c>
      <c r="U15" s="2"/>
    </row>
    <row r="16" spans="1:21" x14ac:dyDescent="0.25">
      <c r="N16" s="2"/>
      <c r="O16" s="2"/>
      <c r="P16" s="2"/>
      <c r="Q16" s="2"/>
      <c r="R16" s="2"/>
      <c r="S16" s="2"/>
      <c r="T16" s="2"/>
      <c r="U16" s="2"/>
    </row>
    <row r="17" spans="14:21" x14ac:dyDescent="0.25">
      <c r="N17" s="2"/>
      <c r="O17" s="2"/>
      <c r="P17" s="2"/>
      <c r="Q17" s="2"/>
      <c r="R17" s="2"/>
      <c r="S17" s="2"/>
      <c r="T17" s="2"/>
      <c r="U17" s="2"/>
    </row>
    <row r="18" spans="14:21" x14ac:dyDescent="0.25">
      <c r="N18" s="1"/>
      <c r="O18" s="1"/>
      <c r="P18" s="1"/>
      <c r="Q18" s="1"/>
      <c r="R18" s="1"/>
      <c r="S18" s="1"/>
      <c r="T18" s="1"/>
      <c r="U18" s="1"/>
    </row>
    <row r="19" spans="14:21" x14ac:dyDescent="0.25">
      <c r="N19" s="1"/>
      <c r="O19" s="1"/>
      <c r="P19" s="1"/>
      <c r="Q19" s="1"/>
      <c r="R19" s="1"/>
      <c r="S19" s="1"/>
      <c r="T19" s="1"/>
      <c r="U19" s="1"/>
    </row>
    <row r="20" spans="14:21" x14ac:dyDescent="0.25">
      <c r="N20" s="1"/>
      <c r="O20" s="1"/>
      <c r="P20" s="1"/>
      <c r="Q20" s="1"/>
      <c r="R20" s="1"/>
      <c r="S20" s="1"/>
      <c r="T20" s="1"/>
      <c r="U20" s="1"/>
    </row>
    <row r="39" spans="15:21" x14ac:dyDescent="0.25">
      <c r="O39" s="2"/>
      <c r="P39" s="2"/>
      <c r="Q39" s="2"/>
      <c r="R39" s="2"/>
      <c r="S39" s="2"/>
      <c r="T39" s="2"/>
      <c r="U39" s="2"/>
    </row>
    <row r="40" spans="15:21" x14ac:dyDescent="0.25">
      <c r="O40" s="2"/>
      <c r="P40" s="2"/>
      <c r="Q40" s="2"/>
      <c r="R40" s="2"/>
      <c r="S40" s="2"/>
      <c r="T40" s="2"/>
      <c r="U40" s="2"/>
    </row>
    <row r="41" spans="15:21" x14ac:dyDescent="0.25">
      <c r="O41" s="2"/>
      <c r="P41" s="2"/>
      <c r="Q41" s="2"/>
      <c r="R41" s="2"/>
      <c r="S41" s="2"/>
      <c r="T41" s="2"/>
      <c r="U41" s="2"/>
    </row>
    <row r="42" spans="15:21" x14ac:dyDescent="0.25">
      <c r="O42" s="2"/>
      <c r="P42" s="2" t="s">
        <v>1</v>
      </c>
      <c r="Q42" s="2">
        <v>2</v>
      </c>
      <c r="R42" s="2">
        <v>3</v>
      </c>
      <c r="S42" s="2">
        <v>4</v>
      </c>
      <c r="T42" s="2" t="s">
        <v>2</v>
      </c>
      <c r="U42" s="2" t="s">
        <v>3</v>
      </c>
    </row>
    <row r="43" spans="15:21" x14ac:dyDescent="0.25">
      <c r="O43" s="3">
        <v>1</v>
      </c>
      <c r="P43" s="4">
        <f>17/401</f>
        <v>4.2394014962593519E-2</v>
      </c>
      <c r="Q43" s="4">
        <f>36/401</f>
        <v>8.9775561097256859E-2</v>
      </c>
      <c r="R43" s="4">
        <f>62/401</f>
        <v>0.15461346633416459</v>
      </c>
      <c r="S43" s="4">
        <f>113/401</f>
        <v>0.28179551122194513</v>
      </c>
      <c r="T43" s="4">
        <f>173/401</f>
        <v>0.4314214463840399</v>
      </c>
      <c r="U43" s="5">
        <f>(17*1+36*2+62*3+113*4+173*5)/401</f>
        <v>3.9700748129675811</v>
      </c>
    </row>
    <row r="44" spans="15:21" x14ac:dyDescent="0.25">
      <c r="O44" s="2">
        <v>2</v>
      </c>
      <c r="P44" s="4">
        <f>45/395</f>
        <v>0.11392405063291139</v>
      </c>
      <c r="Q44" s="4">
        <f>59/395</f>
        <v>0.14936708860759493</v>
      </c>
      <c r="R44" s="4">
        <f>68/395</f>
        <v>0.17215189873417722</v>
      </c>
      <c r="S44" s="4">
        <f>94/395</f>
        <v>0.23797468354430379</v>
      </c>
      <c r="T44" s="4">
        <f>129/395</f>
        <v>0.32658227848101268</v>
      </c>
      <c r="U44" s="5">
        <f>(45*1+59*2+68*3+94*4+129*5)/395</f>
        <v>3.5139240506329115</v>
      </c>
    </row>
    <row r="45" spans="15:21" x14ac:dyDescent="0.25">
      <c r="O45" s="2">
        <v>3</v>
      </c>
      <c r="P45" s="4">
        <f>14/398</f>
        <v>3.5175879396984924E-2</v>
      </c>
      <c r="Q45" s="4">
        <f>12/398</f>
        <v>3.015075376884422E-2</v>
      </c>
      <c r="R45" s="4">
        <f>43/398</f>
        <v>0.10804020100502512</v>
      </c>
      <c r="S45" s="4">
        <f>88/398</f>
        <v>0.22110552763819097</v>
      </c>
      <c r="T45" s="4">
        <f>241/398</f>
        <v>0.60552763819095479</v>
      </c>
      <c r="U45" s="5">
        <f>(14*1+12*2+43*3+88*4+241*5)/398</f>
        <v>4.3316582914572868</v>
      </c>
    </row>
    <row r="46" spans="15:21" x14ac:dyDescent="0.25">
      <c r="O46" s="2"/>
      <c r="P46" s="2"/>
      <c r="Q46" s="2"/>
      <c r="R46" s="2"/>
      <c r="S46" s="2"/>
      <c r="T46" s="2"/>
      <c r="U46" s="2"/>
    </row>
    <row r="47" spans="15:21" x14ac:dyDescent="0.25">
      <c r="O47" s="2"/>
      <c r="P47" s="2"/>
      <c r="Q47" s="2"/>
      <c r="R47" s="2"/>
      <c r="S47" s="2"/>
      <c r="T47" s="2"/>
      <c r="U47" s="2"/>
    </row>
  </sheetData>
  <mergeCells count="1">
    <mergeCell ref="A2:K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4"/>
  <sheetViews>
    <sheetView showGridLines="0" zoomScaleNormal="100" workbookViewId="0">
      <selection activeCell="O69" sqref="O69"/>
    </sheetView>
  </sheetViews>
  <sheetFormatPr defaultRowHeight="15" x14ac:dyDescent="0.25"/>
  <sheetData>
    <row r="2" spans="1:20" ht="27.75" customHeight="1" x14ac:dyDescent="0.35">
      <c r="A2" s="26" t="s">
        <v>71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7" spans="1:20" x14ac:dyDescent="0.25">
      <c r="L7" s="1"/>
      <c r="M7" s="1"/>
      <c r="N7" s="1"/>
      <c r="O7" s="1"/>
      <c r="P7" s="1"/>
      <c r="Q7" s="1"/>
      <c r="R7" s="1"/>
      <c r="S7" s="1"/>
    </row>
    <row r="8" spans="1:20" x14ac:dyDescent="0.25"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K10" s="2"/>
      <c r="L10" s="2"/>
      <c r="M10" s="2"/>
      <c r="N10" s="2" t="s">
        <v>1</v>
      </c>
      <c r="O10" s="2">
        <v>2</v>
      </c>
      <c r="P10" s="2">
        <v>3</v>
      </c>
      <c r="Q10" s="2">
        <v>4</v>
      </c>
      <c r="R10" s="2" t="s">
        <v>2</v>
      </c>
      <c r="S10" s="2" t="s">
        <v>3</v>
      </c>
      <c r="T10" s="2"/>
    </row>
    <row r="11" spans="1:20" x14ac:dyDescent="0.25">
      <c r="K11" s="2"/>
      <c r="L11" s="2"/>
      <c r="M11" s="3">
        <v>1</v>
      </c>
      <c r="N11" s="4">
        <f>34/845</f>
        <v>4.0236686390532544E-2</v>
      </c>
      <c r="O11" s="4">
        <f>66/845</f>
        <v>7.8106508875739639E-2</v>
      </c>
      <c r="P11" s="4">
        <f>108/845</f>
        <v>0.12781065088757396</v>
      </c>
      <c r="Q11" s="4">
        <f>201/845</f>
        <v>0.23786982248520711</v>
      </c>
      <c r="R11" s="4">
        <f>436/845</f>
        <v>0.51597633136094678</v>
      </c>
      <c r="S11" s="5">
        <f>(34*1+66*2+108*3+201*4+436*5)/845</f>
        <v>4.1112426035502958</v>
      </c>
      <c r="T11" s="2"/>
    </row>
    <row r="12" spans="1:20" x14ac:dyDescent="0.25">
      <c r="K12" s="2"/>
      <c r="L12" s="2"/>
      <c r="M12" s="2">
        <v>2</v>
      </c>
      <c r="N12" s="4">
        <f>62/762</f>
        <v>8.1364829396325458E-2</v>
      </c>
      <c r="O12" s="4">
        <f>122/762</f>
        <v>0.16010498687664043</v>
      </c>
      <c r="P12" s="4">
        <f>213/762</f>
        <v>0.27952755905511811</v>
      </c>
      <c r="Q12" s="4">
        <f>205/762</f>
        <v>0.26902887139107612</v>
      </c>
      <c r="R12" s="4">
        <f>160/762</f>
        <v>0.20997375328083989</v>
      </c>
      <c r="S12" s="5">
        <f>(62*1+122*2+213*3+205*4+160*5)/762</f>
        <v>3.3661417322834644</v>
      </c>
      <c r="T12" s="2"/>
    </row>
    <row r="13" spans="1:20" x14ac:dyDescent="0.25">
      <c r="K13" s="2"/>
      <c r="L13" s="2"/>
      <c r="M13" s="2">
        <v>3</v>
      </c>
      <c r="N13" s="4">
        <f>27/704</f>
        <v>3.8352272727272728E-2</v>
      </c>
      <c r="O13" s="4">
        <f>51/704</f>
        <v>7.2443181818181823E-2</v>
      </c>
      <c r="P13" s="4">
        <f>116/704</f>
        <v>0.16477272727272727</v>
      </c>
      <c r="Q13" s="4">
        <f>252/704</f>
        <v>0.35795454545454547</v>
      </c>
      <c r="R13" s="4">
        <f>258/704</f>
        <v>0.36647727272727271</v>
      </c>
      <c r="S13" s="5">
        <f>(27*1+51*2+116*3+252*4+258*5)/704</f>
        <v>3.9417613636363638</v>
      </c>
      <c r="T13" s="2"/>
    </row>
    <row r="14" spans="1:20" x14ac:dyDescent="0.25">
      <c r="K14" s="2"/>
      <c r="L14" s="2"/>
      <c r="M14" s="2">
        <v>4</v>
      </c>
      <c r="N14" s="4">
        <f>28/834</f>
        <v>3.3573141486810551E-2</v>
      </c>
      <c r="O14" s="4">
        <f>36/834</f>
        <v>4.3165467625899283E-2</v>
      </c>
      <c r="P14" s="4">
        <f>91/834</f>
        <v>0.10911270983213429</v>
      </c>
      <c r="Q14" s="4">
        <f>211/834</f>
        <v>0.25299760191846521</v>
      </c>
      <c r="R14" s="4">
        <f>468/834</f>
        <v>0.5611510791366906</v>
      </c>
      <c r="S14" s="5">
        <f>(28*1+36*2+91*3+211*4+468*5)/834</f>
        <v>4.2649880095923258</v>
      </c>
      <c r="T14" s="2"/>
    </row>
    <row r="15" spans="1:20" x14ac:dyDescent="0.25">
      <c r="K15" s="2"/>
      <c r="L15" s="2"/>
      <c r="M15" s="2">
        <v>5</v>
      </c>
      <c r="N15" s="4">
        <f>40/854</f>
        <v>4.6838407494145202E-2</v>
      </c>
      <c r="O15" s="4">
        <f>74/854</f>
        <v>8.6651053864168617E-2</v>
      </c>
      <c r="P15" s="4">
        <f>101/874</f>
        <v>0.11556064073226545</v>
      </c>
      <c r="Q15" s="4">
        <f>194/874</f>
        <v>0.2219679633867277</v>
      </c>
      <c r="R15" s="4">
        <f>445/874</f>
        <v>0.50915331807780317</v>
      </c>
      <c r="S15" s="5">
        <f>(40*1+74*2+101*3+194*4+445*5)/874</f>
        <v>3.9954233409610982</v>
      </c>
      <c r="T15" s="2"/>
    </row>
    <row r="16" spans="1:20" x14ac:dyDescent="0.25"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2:20" x14ac:dyDescent="0.25">
      <c r="L17" s="2"/>
      <c r="M17" s="2"/>
      <c r="N17" s="2"/>
      <c r="O17" s="2"/>
      <c r="P17" s="2"/>
      <c r="Q17" s="2"/>
      <c r="R17" s="2"/>
      <c r="S17" s="2"/>
      <c r="T17" s="2"/>
    </row>
    <row r="46" spans="16:24" x14ac:dyDescent="0.25">
      <c r="P46" s="2"/>
      <c r="Q46" s="2"/>
      <c r="R46" s="2"/>
      <c r="S46" s="2"/>
      <c r="T46" s="2"/>
      <c r="U46" s="2"/>
      <c r="V46" s="2"/>
      <c r="W46" s="2"/>
    </row>
    <row r="47" spans="16:24" x14ac:dyDescent="0.25">
      <c r="P47" s="2"/>
      <c r="Q47" s="2"/>
      <c r="R47" s="2"/>
      <c r="S47" s="2"/>
      <c r="T47" s="2"/>
      <c r="U47" s="2"/>
      <c r="V47" s="2"/>
      <c r="W47" s="2"/>
    </row>
    <row r="48" spans="16:24" x14ac:dyDescent="0.25">
      <c r="P48" s="2"/>
      <c r="Q48" s="2" t="s">
        <v>1</v>
      </c>
      <c r="R48" s="2">
        <v>2</v>
      </c>
      <c r="S48" s="2">
        <v>3</v>
      </c>
      <c r="T48" s="2">
        <v>4</v>
      </c>
      <c r="U48" s="2" t="s">
        <v>2</v>
      </c>
      <c r="V48" s="2" t="s">
        <v>3</v>
      </c>
      <c r="W48" s="2"/>
      <c r="X48" s="1"/>
    </row>
    <row r="49" spans="16:24" x14ac:dyDescent="0.25">
      <c r="P49" s="3">
        <v>1</v>
      </c>
      <c r="Q49" s="4">
        <f>10/390</f>
        <v>2.564102564102564E-2</v>
      </c>
      <c r="R49" s="4">
        <f>26/390</f>
        <v>6.6666666666666666E-2</v>
      </c>
      <c r="S49" s="4">
        <f>49/390</f>
        <v>0.12564102564102564</v>
      </c>
      <c r="T49" s="4">
        <f>93/390</f>
        <v>0.23846153846153847</v>
      </c>
      <c r="U49" s="4">
        <f>212/390</f>
        <v>0.54358974358974355</v>
      </c>
      <c r="V49" s="5">
        <f>(10*1+26*2+49*3+93*4+212*5)/390</f>
        <v>4.2076923076923078</v>
      </c>
      <c r="W49" s="2"/>
      <c r="X49" s="1"/>
    </row>
    <row r="50" spans="16:24" x14ac:dyDescent="0.25">
      <c r="P50" s="2">
        <v>2</v>
      </c>
      <c r="Q50" s="4">
        <f>30/358</f>
        <v>8.3798882681564241E-2</v>
      </c>
      <c r="R50" s="4">
        <f>51/358</f>
        <v>0.14245810055865921</v>
      </c>
      <c r="S50" s="4">
        <f>101/358</f>
        <v>0.28212290502793297</v>
      </c>
      <c r="T50" s="4">
        <f>107/358</f>
        <v>0.2988826815642458</v>
      </c>
      <c r="U50" s="4">
        <f>69/358</f>
        <v>0.19273743016759776</v>
      </c>
      <c r="V50" s="5">
        <f>(30*1+51*2+101*3+107*4+69*5)/358</f>
        <v>3.3743016759776538</v>
      </c>
      <c r="W50" s="2"/>
      <c r="X50" s="1"/>
    </row>
    <row r="51" spans="16:24" x14ac:dyDescent="0.25">
      <c r="P51" s="2">
        <v>3</v>
      </c>
      <c r="Q51" s="4">
        <f>13/330</f>
        <v>3.9393939393939391E-2</v>
      </c>
      <c r="R51" s="4">
        <f>22/330</f>
        <v>6.6666666666666666E-2</v>
      </c>
      <c r="S51" s="4">
        <f>44/330</f>
        <v>0.13333333333333333</v>
      </c>
      <c r="T51" s="4">
        <f>127/330</f>
        <v>0.38484848484848483</v>
      </c>
      <c r="U51" s="4">
        <f>124/330</f>
        <v>0.37575757575757573</v>
      </c>
      <c r="V51" s="5">
        <f>(13*1+22*2+44*3+127*4+124*5)/330</f>
        <v>3.9909090909090907</v>
      </c>
      <c r="W51" s="2"/>
    </row>
    <row r="52" spans="16:24" x14ac:dyDescent="0.25">
      <c r="P52" s="2">
        <v>4</v>
      </c>
      <c r="Q52" s="4">
        <f>6/385</f>
        <v>1.5584415584415584E-2</v>
      </c>
      <c r="R52" s="4">
        <f>12/385</f>
        <v>3.1168831168831169E-2</v>
      </c>
      <c r="S52" s="4">
        <f>40/385</f>
        <v>0.1038961038961039</v>
      </c>
      <c r="T52" s="4">
        <f>90/385</f>
        <v>0.23376623376623376</v>
      </c>
      <c r="U52" s="4">
        <f>237/385</f>
        <v>0.61558441558441557</v>
      </c>
      <c r="V52" s="5">
        <f>(6*1+12*2+40*3+90*4+237*5)/385</f>
        <v>4.4025974025974026</v>
      </c>
      <c r="W52" s="2"/>
    </row>
    <row r="53" spans="16:24" x14ac:dyDescent="0.25">
      <c r="P53" s="2">
        <v>5</v>
      </c>
      <c r="Q53" s="4">
        <f>13/394</f>
        <v>3.2994923857868022E-2</v>
      </c>
      <c r="R53" s="4">
        <f>34/394</f>
        <v>8.6294416243654817E-2</v>
      </c>
      <c r="S53" s="4">
        <f>48/394</f>
        <v>0.12182741116751269</v>
      </c>
      <c r="T53" s="4">
        <f>88/394</f>
        <v>0.2233502538071066</v>
      </c>
      <c r="U53" s="4">
        <f>211/394</f>
        <v>0.53553299492385786</v>
      </c>
      <c r="V53" s="5">
        <f>(13*1+34*2+48*3+88*4+211*5)/394</f>
        <v>4.1421319796954315</v>
      </c>
      <c r="W53" s="2"/>
    </row>
    <row r="54" spans="16:24" x14ac:dyDescent="0.25">
      <c r="P54" s="2"/>
      <c r="Q54" s="2"/>
      <c r="R54" s="2"/>
      <c r="S54" s="2"/>
      <c r="T54" s="2"/>
      <c r="U54" s="2"/>
      <c r="V54" s="2"/>
      <c r="W54" s="2"/>
    </row>
    <row r="55" spans="16:24" x14ac:dyDescent="0.25">
      <c r="P55" s="2"/>
      <c r="Q55" s="2"/>
      <c r="R55" s="2"/>
      <c r="S55" s="2"/>
      <c r="T55" s="2"/>
      <c r="U55" s="2"/>
      <c r="V55" s="2"/>
      <c r="W55" s="2"/>
    </row>
    <row r="56" spans="16:24" x14ac:dyDescent="0.25">
      <c r="Q56" s="1"/>
    </row>
    <row r="57" spans="16:24" x14ac:dyDescent="0.25">
      <c r="Q57" s="1"/>
      <c r="R57" s="1"/>
      <c r="S57" s="1"/>
      <c r="T57" s="1"/>
      <c r="U57" s="1"/>
      <c r="V57" s="1"/>
      <c r="W57" s="1"/>
      <c r="X57" s="1"/>
    </row>
    <row r="58" spans="16:24" x14ac:dyDescent="0.25">
      <c r="Q58" s="1"/>
      <c r="R58" s="1"/>
      <c r="S58" s="1"/>
      <c r="T58" s="1"/>
      <c r="U58" s="1"/>
      <c r="V58" s="1"/>
      <c r="W58" s="1"/>
      <c r="X58" s="1"/>
    </row>
    <row r="74" spans="16:22" x14ac:dyDescent="0.25">
      <c r="P74" s="2"/>
      <c r="Q74" s="2"/>
      <c r="R74" s="2"/>
      <c r="S74" s="2"/>
      <c r="T74" s="2"/>
      <c r="U74" s="2"/>
      <c r="V74" s="2"/>
    </row>
    <row r="75" spans="16:22" x14ac:dyDescent="0.25">
      <c r="P75" s="2"/>
      <c r="Q75" s="2"/>
      <c r="R75" s="2"/>
      <c r="S75" s="2"/>
      <c r="T75" s="2"/>
      <c r="U75" s="2"/>
      <c r="V75" s="2"/>
    </row>
    <row r="76" spans="16:22" x14ac:dyDescent="0.25">
      <c r="P76" s="2"/>
      <c r="Q76" s="2"/>
      <c r="R76" s="2" t="s">
        <v>12</v>
      </c>
      <c r="S76" s="2" t="s">
        <v>13</v>
      </c>
      <c r="T76" s="2" t="s">
        <v>14</v>
      </c>
      <c r="U76" s="2" t="s">
        <v>15</v>
      </c>
      <c r="V76" s="2" t="s">
        <v>16</v>
      </c>
    </row>
    <row r="77" spans="16:22" x14ac:dyDescent="0.25">
      <c r="P77" s="2"/>
      <c r="Q77" s="2" t="s">
        <v>7</v>
      </c>
      <c r="R77" s="4">
        <f>350/R83</f>
        <v>0.42219541616405309</v>
      </c>
      <c r="S77" s="4">
        <f>148/S83</f>
        <v>0.17982989064398541</v>
      </c>
      <c r="T77" s="4">
        <f>157/T83</f>
        <v>0.19527363184079602</v>
      </c>
      <c r="U77" s="4">
        <f>126/U83</f>
        <v>0.16279069767441862</v>
      </c>
      <c r="V77" s="4">
        <f>25/665</f>
        <v>3.7593984962406013E-2</v>
      </c>
    </row>
    <row r="78" spans="16:22" x14ac:dyDescent="0.25">
      <c r="P78" s="2"/>
      <c r="Q78" s="2" t="s">
        <v>8</v>
      </c>
      <c r="R78" s="4">
        <f>174/R83</f>
        <v>0.20989143546441497</v>
      </c>
      <c r="S78" s="4">
        <f>192/S83</f>
        <v>0.23329283110571081</v>
      </c>
      <c r="T78" s="4">
        <f>217/T83</f>
        <v>0.26990049751243783</v>
      </c>
      <c r="U78" s="4">
        <f>180/U83</f>
        <v>0.23255813953488372</v>
      </c>
      <c r="V78" s="4">
        <f>24/665</f>
        <v>3.6090225563909777E-2</v>
      </c>
    </row>
    <row r="79" spans="16:22" x14ac:dyDescent="0.25">
      <c r="P79" s="2"/>
      <c r="Q79" s="2" t="s">
        <v>9</v>
      </c>
      <c r="R79" s="4">
        <f>90/R83</f>
        <v>0.10856453558504221</v>
      </c>
      <c r="S79" s="4">
        <f>167/S83</f>
        <v>0.20291616038882138</v>
      </c>
      <c r="T79" s="4">
        <f>190/T83</f>
        <v>0.23631840796019901</v>
      </c>
      <c r="U79" s="4">
        <f>327/U83</f>
        <v>0.42248062015503873</v>
      </c>
      <c r="V79" s="4">
        <f>28/665</f>
        <v>4.2105263157894736E-2</v>
      </c>
    </row>
    <row r="80" spans="16:22" x14ac:dyDescent="0.25">
      <c r="P80" s="2"/>
      <c r="Q80" s="2" t="s">
        <v>10</v>
      </c>
      <c r="R80" s="4">
        <f>189/R83</f>
        <v>0.22798552472858866</v>
      </c>
      <c r="S80" s="4">
        <f>308/S83</f>
        <v>0.37424058323207776</v>
      </c>
      <c r="T80" s="4">
        <f>220/T83</f>
        <v>0.27363184079601988</v>
      </c>
      <c r="U80" s="4">
        <f>89/U83</f>
        <v>0.11498708010335917</v>
      </c>
      <c r="V80" s="4">
        <f>7/665</f>
        <v>1.0526315789473684E-2</v>
      </c>
    </row>
    <row r="81" spans="16:22" x14ac:dyDescent="0.25">
      <c r="P81" s="2"/>
      <c r="Q81" s="2" t="s">
        <v>11</v>
      </c>
      <c r="R81" s="4">
        <f>26/R83</f>
        <v>3.1363088057901084E-2</v>
      </c>
      <c r="S81" s="4">
        <f>8/S83</f>
        <v>9.7205346294046164E-3</v>
      </c>
      <c r="T81" s="4">
        <f>20/T83</f>
        <v>2.4875621890547265E-2</v>
      </c>
      <c r="U81" s="4">
        <f>52/U83</f>
        <v>6.7183462532299745E-2</v>
      </c>
      <c r="V81" s="4">
        <f>581/665</f>
        <v>0.87368421052631584</v>
      </c>
    </row>
    <row r="82" spans="16:22" x14ac:dyDescent="0.25">
      <c r="P82" s="2"/>
      <c r="Q82" s="2"/>
      <c r="R82" s="2"/>
      <c r="S82" s="2"/>
      <c r="T82" s="2"/>
      <c r="U82" s="2"/>
      <c r="V82" s="2"/>
    </row>
    <row r="83" spans="16:22" x14ac:dyDescent="0.25">
      <c r="P83" s="2"/>
      <c r="Q83" s="2"/>
      <c r="R83" s="2">
        <v>829</v>
      </c>
      <c r="S83" s="2">
        <v>823</v>
      </c>
      <c r="T83" s="2">
        <v>804</v>
      </c>
      <c r="U83" s="2">
        <v>774</v>
      </c>
      <c r="V83" s="2"/>
    </row>
    <row r="84" spans="16:22" x14ac:dyDescent="0.25">
      <c r="P84" s="2"/>
      <c r="Q84" s="2"/>
      <c r="R84" s="2"/>
      <c r="S84" s="2"/>
      <c r="T84" s="2"/>
      <c r="U84" s="2"/>
      <c r="V84" s="2"/>
    </row>
  </sheetData>
  <mergeCells count="1">
    <mergeCell ref="A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5:X50"/>
  <sheetViews>
    <sheetView showGridLines="0" workbookViewId="0">
      <selection activeCell="P62" sqref="P62"/>
    </sheetView>
  </sheetViews>
  <sheetFormatPr defaultRowHeight="15" x14ac:dyDescent="0.25"/>
  <sheetData>
    <row r="5" spans="16:22" x14ac:dyDescent="0.25">
      <c r="P5" s="2"/>
      <c r="Q5" s="2"/>
      <c r="R5" s="2"/>
      <c r="S5" s="2"/>
      <c r="T5" s="2"/>
      <c r="U5" s="2"/>
      <c r="V5" s="2"/>
    </row>
    <row r="6" spans="16:22" x14ac:dyDescent="0.25">
      <c r="P6" s="2"/>
      <c r="Q6" s="2" t="s">
        <v>1</v>
      </c>
      <c r="R6" s="2">
        <v>2</v>
      </c>
      <c r="S6" s="2">
        <v>3</v>
      </c>
      <c r="T6" s="2">
        <v>4</v>
      </c>
      <c r="U6" s="2" t="s">
        <v>2</v>
      </c>
      <c r="V6" s="2" t="s">
        <v>3</v>
      </c>
    </row>
    <row r="7" spans="16:22" x14ac:dyDescent="0.25">
      <c r="P7" s="3">
        <v>1</v>
      </c>
      <c r="Q7" s="4">
        <f>80/912</f>
        <v>8.771929824561403E-2</v>
      </c>
      <c r="R7" s="4">
        <f>132/912</f>
        <v>0.14473684210526316</v>
      </c>
      <c r="S7" s="4">
        <f>245/912</f>
        <v>0.26864035087719296</v>
      </c>
      <c r="T7" s="4">
        <f>249/912</f>
        <v>0.27302631578947367</v>
      </c>
      <c r="U7" s="4">
        <f>206/912</f>
        <v>0.22587719298245615</v>
      </c>
      <c r="V7" s="5">
        <f>(80*1+132*2+245*3+249*4+206*5)/912</f>
        <v>3.4046052631578947</v>
      </c>
    </row>
    <row r="8" spans="16:22" x14ac:dyDescent="0.25">
      <c r="P8" s="2">
        <v>2</v>
      </c>
      <c r="Q8" s="4">
        <f>63/935</f>
        <v>6.737967914438503E-2</v>
      </c>
      <c r="R8" s="4">
        <f>101/935</f>
        <v>0.10802139037433155</v>
      </c>
      <c r="S8" s="4">
        <f>204/935</f>
        <v>0.21818181818181817</v>
      </c>
      <c r="T8" s="4">
        <f>278/935</f>
        <v>0.29732620320855613</v>
      </c>
      <c r="U8" s="4">
        <f>289/935</f>
        <v>0.30909090909090908</v>
      </c>
      <c r="V8" s="5">
        <f>(63*1+101*2+204*3+278*4+289*5)/935</f>
        <v>3.6727272727272728</v>
      </c>
    </row>
    <row r="9" spans="16:22" x14ac:dyDescent="0.25">
      <c r="P9" s="2">
        <v>3</v>
      </c>
      <c r="Q9" s="4">
        <f>69/892</f>
        <v>7.73542600896861E-2</v>
      </c>
      <c r="R9" s="4">
        <f>117/892</f>
        <v>0.1311659192825112</v>
      </c>
      <c r="S9" s="4">
        <f>245/892</f>
        <v>0.27466367713004486</v>
      </c>
      <c r="T9" s="4">
        <f>225/892</f>
        <v>0.25224215246636772</v>
      </c>
      <c r="U9" s="4">
        <f>236/892</f>
        <v>0.26457399103139012</v>
      </c>
      <c r="V9" s="5">
        <f>(69*1+117*2+245*3+225*4+236*5)/892</f>
        <v>3.4955156950672648</v>
      </c>
    </row>
    <row r="10" spans="16:22" x14ac:dyDescent="0.25">
      <c r="P10" s="2">
        <v>4</v>
      </c>
      <c r="Q10" s="4">
        <f>123/690</f>
        <v>0.17826086956521739</v>
      </c>
      <c r="R10" s="4">
        <f>115/690</f>
        <v>0.16666666666666666</v>
      </c>
      <c r="S10" s="4">
        <f>192/690</f>
        <v>0.27826086956521739</v>
      </c>
      <c r="T10" s="4">
        <f>141/690</f>
        <v>0.20434782608695654</v>
      </c>
      <c r="U10" s="4">
        <f>119/690</f>
        <v>0.17246376811594202</v>
      </c>
      <c r="V10" s="5">
        <f>(123*1+115*2+192*3+141*4+119*5)/690</f>
        <v>3.026086956521739</v>
      </c>
    </row>
    <row r="11" spans="16:22" x14ac:dyDescent="0.25">
      <c r="P11" s="2"/>
      <c r="Q11" s="2"/>
      <c r="R11" s="2"/>
      <c r="S11" s="2"/>
      <c r="T11" s="2"/>
      <c r="U11" s="2"/>
      <c r="V11" s="2"/>
    </row>
    <row r="42" spans="17:24" x14ac:dyDescent="0.25">
      <c r="Q42" s="2"/>
      <c r="R42" s="2"/>
      <c r="S42" s="2"/>
      <c r="T42" s="2"/>
      <c r="U42" s="2"/>
      <c r="V42" s="2"/>
      <c r="W42" s="2"/>
      <c r="X42" s="2"/>
    </row>
    <row r="43" spans="17:24" x14ac:dyDescent="0.25">
      <c r="Q43" s="2"/>
      <c r="R43" s="2" t="s">
        <v>1</v>
      </c>
      <c r="S43" s="2">
        <v>2</v>
      </c>
      <c r="T43" s="2">
        <v>3</v>
      </c>
      <c r="U43" s="2">
        <v>4</v>
      </c>
      <c r="V43" s="2" t="s">
        <v>2</v>
      </c>
      <c r="W43" s="2" t="s">
        <v>3</v>
      </c>
      <c r="X43" s="2"/>
    </row>
    <row r="44" spans="17:24" x14ac:dyDescent="0.25">
      <c r="Q44" s="3">
        <v>1</v>
      </c>
      <c r="R44" s="4">
        <f>32/425</f>
        <v>7.5294117647058817E-2</v>
      </c>
      <c r="S44" s="4">
        <f>57/425</f>
        <v>0.13411764705882354</v>
      </c>
      <c r="T44" s="4">
        <f>125/425</f>
        <v>0.29411764705882354</v>
      </c>
      <c r="U44" s="4">
        <f>110/425</f>
        <v>0.25882352941176473</v>
      </c>
      <c r="V44" s="4">
        <f>101/425</f>
        <v>0.23764705882352941</v>
      </c>
      <c r="W44" s="5">
        <f>(32*1+57*2+125*3+110*4+101*5)/425</f>
        <v>3.4494117647058822</v>
      </c>
      <c r="X44" s="2"/>
    </row>
    <row r="45" spans="17:24" x14ac:dyDescent="0.25">
      <c r="Q45" s="2">
        <v>2</v>
      </c>
      <c r="R45" s="4">
        <f>25/432</f>
        <v>5.7870370370370371E-2</v>
      </c>
      <c r="S45" s="4">
        <f>36/432</f>
        <v>8.3333333333333329E-2</v>
      </c>
      <c r="T45" s="4">
        <f>99/432</f>
        <v>0.22916666666666666</v>
      </c>
      <c r="U45" s="4">
        <f>140/432</f>
        <v>0.32407407407407407</v>
      </c>
      <c r="V45" s="4">
        <f>132/432</f>
        <v>0.30555555555555558</v>
      </c>
      <c r="W45" s="5">
        <f>(25*1+36*2+99*3+140*4+132*5)/432</f>
        <v>3.7361111111111112</v>
      </c>
      <c r="X45" s="2"/>
    </row>
    <row r="46" spans="17:24" x14ac:dyDescent="0.25">
      <c r="Q46" s="2">
        <v>3</v>
      </c>
      <c r="R46" s="4">
        <f>25/411</f>
        <v>6.0827250608272508E-2</v>
      </c>
      <c r="S46" s="4">
        <f>48/411</f>
        <v>0.11678832116788321</v>
      </c>
      <c r="T46" s="4">
        <f>122/411</f>
        <v>0.29683698296836986</v>
      </c>
      <c r="U46" s="4">
        <f>107/411</f>
        <v>0.26034063260340634</v>
      </c>
      <c r="V46" s="4">
        <f>109/411</f>
        <v>0.26520681265206814</v>
      </c>
      <c r="W46" s="5">
        <f>(25*1+48*2+122*3+107*4+109*5)/411</f>
        <v>3.5523114355231145</v>
      </c>
      <c r="X46" s="2"/>
    </row>
    <row r="47" spans="17:24" x14ac:dyDescent="0.25">
      <c r="Q47" s="2">
        <v>4</v>
      </c>
      <c r="R47" s="4">
        <f>42/345</f>
        <v>0.12173913043478261</v>
      </c>
      <c r="S47" s="4">
        <f>44/345</f>
        <v>0.12753623188405797</v>
      </c>
      <c r="T47" s="4">
        <f>112/345</f>
        <v>0.32463768115942027</v>
      </c>
      <c r="U47" s="4">
        <f>74/345</f>
        <v>0.2144927536231884</v>
      </c>
      <c r="V47" s="4">
        <f>73/345</f>
        <v>0.21159420289855072</v>
      </c>
      <c r="W47" s="5">
        <f>(42*1+44*2+112*3+74*4+73*5)/345</f>
        <v>3.2666666666666666</v>
      </c>
      <c r="X47" s="2"/>
    </row>
    <row r="48" spans="17:24" x14ac:dyDescent="0.25">
      <c r="Q48" s="2"/>
      <c r="R48" s="2"/>
      <c r="S48" s="2"/>
      <c r="T48" s="2"/>
      <c r="U48" s="2"/>
      <c r="V48" s="2"/>
      <c r="W48" s="2"/>
      <c r="X48" s="2"/>
    </row>
    <row r="49" spans="17:24" x14ac:dyDescent="0.25">
      <c r="Q49" s="2"/>
      <c r="R49" s="2"/>
      <c r="S49" s="2"/>
      <c r="T49" s="2"/>
      <c r="U49" s="2"/>
      <c r="V49" s="2"/>
      <c r="W49" s="2"/>
      <c r="X49" s="2"/>
    </row>
    <row r="50" spans="17:24" x14ac:dyDescent="0.25">
      <c r="Q50" s="2"/>
      <c r="R50" s="2"/>
      <c r="S50" s="2"/>
      <c r="T50" s="2"/>
      <c r="U50" s="2"/>
      <c r="V50" s="2"/>
      <c r="W50" s="2"/>
      <c r="X50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7"/>
  <sheetViews>
    <sheetView showGridLines="0" workbookViewId="0">
      <selection activeCell="F112" sqref="F112"/>
    </sheetView>
  </sheetViews>
  <sheetFormatPr defaultRowHeight="15" x14ac:dyDescent="0.25"/>
  <cols>
    <col min="2" max="2" width="23.28515625" customWidth="1"/>
    <col min="3" max="3" width="25.28515625" customWidth="1"/>
    <col min="4" max="4" width="20.85546875" customWidth="1"/>
    <col min="5" max="5" width="25.5703125" customWidth="1"/>
    <col min="6" max="6" width="21.28515625" customWidth="1"/>
  </cols>
  <sheetData>
    <row r="4" spans="2:16" ht="35.25" customHeight="1" x14ac:dyDescent="0.25">
      <c r="B4" s="27" t="s">
        <v>20</v>
      </c>
      <c r="C4" s="28"/>
      <c r="D4" s="28"/>
      <c r="E4" s="28"/>
      <c r="F4" s="29"/>
    </row>
    <row r="5" spans="2:16" x14ac:dyDescent="0.25">
      <c r="B5" s="7"/>
      <c r="C5" s="8" t="s">
        <v>17</v>
      </c>
      <c r="D5" s="8" t="s">
        <v>18</v>
      </c>
      <c r="E5" s="8" t="s">
        <v>19</v>
      </c>
      <c r="F5" s="9" t="s">
        <v>18</v>
      </c>
    </row>
    <row r="6" spans="2:16" ht="24" x14ac:dyDescent="0.25">
      <c r="B6" s="10" t="s">
        <v>22</v>
      </c>
      <c r="C6" s="13">
        <v>606</v>
      </c>
      <c r="D6" s="14">
        <f>C6/1190</f>
        <v>0.50924369747899156</v>
      </c>
      <c r="E6" s="13">
        <v>584</v>
      </c>
      <c r="F6" s="15">
        <f>E6/1190</f>
        <v>0.49075630252100838</v>
      </c>
    </row>
    <row r="7" spans="2:16" ht="24" x14ac:dyDescent="0.25">
      <c r="B7" s="11" t="s">
        <v>72</v>
      </c>
      <c r="C7" s="16">
        <v>654</v>
      </c>
      <c r="D7" s="17">
        <f t="shared" ref="D7:D10" si="0">C7/1190</f>
        <v>0.54957983193277316</v>
      </c>
      <c r="E7" s="16">
        <v>536</v>
      </c>
      <c r="F7" s="18">
        <f t="shared" ref="F7:F10" si="1">E7/1190</f>
        <v>0.4504201680672269</v>
      </c>
    </row>
    <row r="8" spans="2:16" ht="24" x14ac:dyDescent="0.25">
      <c r="B8" s="10" t="s">
        <v>23</v>
      </c>
      <c r="C8" s="13">
        <v>902</v>
      </c>
      <c r="D8" s="14">
        <f t="shared" si="0"/>
        <v>0.7579831932773109</v>
      </c>
      <c r="E8" s="13">
        <v>288</v>
      </c>
      <c r="F8" s="15">
        <f t="shared" si="1"/>
        <v>0.24201680672268908</v>
      </c>
    </row>
    <row r="9" spans="2:16" ht="48" x14ac:dyDescent="0.25">
      <c r="B9" s="11" t="s">
        <v>24</v>
      </c>
      <c r="C9" s="16">
        <v>943</v>
      </c>
      <c r="D9" s="17">
        <f t="shared" si="0"/>
        <v>0.79243697478991593</v>
      </c>
      <c r="E9" s="16">
        <v>247</v>
      </c>
      <c r="F9" s="18">
        <f t="shared" si="1"/>
        <v>0.20756302521008405</v>
      </c>
    </row>
    <row r="10" spans="2:16" ht="24" x14ac:dyDescent="0.25">
      <c r="B10" s="12" t="s">
        <v>26</v>
      </c>
      <c r="C10" s="19">
        <v>1073</v>
      </c>
      <c r="D10" s="20">
        <f t="shared" si="0"/>
        <v>0.90168067226890758</v>
      </c>
      <c r="E10" s="19">
        <f>1190-1073</f>
        <v>117</v>
      </c>
      <c r="F10" s="21">
        <f t="shared" si="1"/>
        <v>9.8319327731092435E-2</v>
      </c>
    </row>
    <row r="15" spans="2:16" x14ac:dyDescent="0.25">
      <c r="H15" s="2"/>
      <c r="I15" s="2"/>
      <c r="J15" s="2"/>
      <c r="K15" s="2"/>
      <c r="L15" s="2"/>
      <c r="M15" s="2"/>
      <c r="N15" s="2"/>
      <c r="O15" s="2"/>
      <c r="P15" s="2"/>
    </row>
    <row r="16" spans="2:16" x14ac:dyDescent="0.25">
      <c r="F16" t="s">
        <v>21</v>
      </c>
      <c r="H16" s="2"/>
      <c r="I16" s="2"/>
      <c r="J16" s="2"/>
      <c r="K16" s="2"/>
      <c r="L16" s="2"/>
      <c r="M16" s="2"/>
      <c r="N16" s="2"/>
      <c r="O16" s="2"/>
      <c r="P16" s="2"/>
    </row>
    <row r="17" spans="8:16" x14ac:dyDescent="0.25">
      <c r="H17" s="2"/>
      <c r="I17" s="2"/>
      <c r="J17" s="2" t="s">
        <v>1</v>
      </c>
      <c r="K17" s="2">
        <v>2</v>
      </c>
      <c r="L17" s="2">
        <v>3</v>
      </c>
      <c r="M17" s="2">
        <v>4</v>
      </c>
      <c r="N17" s="2" t="s">
        <v>2</v>
      </c>
      <c r="O17" s="2" t="s">
        <v>3</v>
      </c>
      <c r="P17" s="2"/>
    </row>
    <row r="18" spans="8:16" x14ac:dyDescent="0.25">
      <c r="H18" s="2"/>
      <c r="I18" s="3">
        <v>1</v>
      </c>
      <c r="J18" s="4">
        <f>91/825</f>
        <v>0.11030303030303031</v>
      </c>
      <c r="K18" s="4">
        <f>86/825</f>
        <v>0.10424242424242425</v>
      </c>
      <c r="L18" s="4">
        <f>144/825</f>
        <v>0.17454545454545456</v>
      </c>
      <c r="M18" s="4">
        <f>219/825</f>
        <v>0.26545454545454544</v>
      </c>
      <c r="N18" s="4">
        <f>285/825</f>
        <v>0.34545454545454546</v>
      </c>
      <c r="O18" s="5">
        <f>(91*1+86*2+144*3+219*4+285*5)/825</f>
        <v>3.6315151515151514</v>
      </c>
      <c r="P18" s="2"/>
    </row>
    <row r="19" spans="8:16" x14ac:dyDescent="0.25">
      <c r="H19" s="2"/>
      <c r="I19" s="2">
        <v>2</v>
      </c>
      <c r="J19" s="4">
        <f>81/828</f>
        <v>9.7826086956521743E-2</v>
      </c>
      <c r="K19" s="4">
        <f>96/828</f>
        <v>0.11594202898550725</v>
      </c>
      <c r="L19" s="4">
        <f>129/828</f>
        <v>0.15579710144927536</v>
      </c>
      <c r="M19" s="4">
        <f>238/828</f>
        <v>0.28743961352657005</v>
      </c>
      <c r="N19" s="4">
        <f>284/828</f>
        <v>0.34299516908212563</v>
      </c>
      <c r="O19" s="5">
        <f>(81*1+96*2+129*3+238*4+284*5)/828</f>
        <v>3.6618357487922704</v>
      </c>
      <c r="P19" s="2"/>
    </row>
    <row r="20" spans="8:16" x14ac:dyDescent="0.25">
      <c r="H20" s="2"/>
      <c r="I20" s="2">
        <v>3</v>
      </c>
      <c r="J20" s="4">
        <f>18/815</f>
        <v>2.2085889570552148E-2</v>
      </c>
      <c r="K20" s="4">
        <f>39/815</f>
        <v>4.785276073619632E-2</v>
      </c>
      <c r="L20" s="4">
        <f>155/815</f>
        <v>0.19018404907975461</v>
      </c>
      <c r="M20" s="4">
        <f>297/815</f>
        <v>0.36441717791411044</v>
      </c>
      <c r="N20" s="4">
        <f>306/815</f>
        <v>0.3754601226993865</v>
      </c>
      <c r="O20" s="5">
        <f>(18*1+39*2+155*3+297*4+306*5)/815</f>
        <v>4.0233128834355831</v>
      </c>
      <c r="P20" s="2"/>
    </row>
    <row r="21" spans="8:16" x14ac:dyDescent="0.25">
      <c r="H21" s="2"/>
      <c r="I21" s="2"/>
      <c r="J21" s="2"/>
      <c r="K21" s="2"/>
      <c r="L21" s="2"/>
      <c r="M21" s="2"/>
      <c r="N21" s="2"/>
      <c r="O21" s="2"/>
      <c r="P21" s="2"/>
    </row>
    <row r="43" spans="10:16" x14ac:dyDescent="0.25">
      <c r="J43" s="2"/>
      <c r="K43" s="2"/>
      <c r="L43" s="2"/>
      <c r="M43" s="2"/>
      <c r="N43" s="2"/>
      <c r="O43" s="2"/>
      <c r="P43" s="2"/>
    </row>
    <row r="44" spans="10:16" x14ac:dyDescent="0.25">
      <c r="J44" s="2"/>
      <c r="K44" s="2" t="s">
        <v>1</v>
      </c>
      <c r="L44" s="2">
        <v>2</v>
      </c>
      <c r="M44" s="2">
        <v>3</v>
      </c>
      <c r="N44" s="2">
        <v>4</v>
      </c>
      <c r="O44" s="2" t="s">
        <v>2</v>
      </c>
      <c r="P44" s="2" t="s">
        <v>3</v>
      </c>
    </row>
    <row r="45" spans="10:16" x14ac:dyDescent="0.25">
      <c r="J45" s="3">
        <v>1</v>
      </c>
      <c r="K45" s="4">
        <f>25/422</f>
        <v>5.9241706161137442E-2</v>
      </c>
      <c r="L45" s="4">
        <f>43/422</f>
        <v>0.1018957345971564</v>
      </c>
      <c r="M45" s="4">
        <f>74/422</f>
        <v>0.17535545023696683</v>
      </c>
      <c r="N45" s="4">
        <f>123/422</f>
        <v>0.29146919431279622</v>
      </c>
      <c r="O45" s="4">
        <f>157/422</f>
        <v>0.37203791469194314</v>
      </c>
      <c r="P45" s="5">
        <f>(25*1+43*2+74*3+123*4+157*5)/422</f>
        <v>3.8151658767772512</v>
      </c>
    </row>
    <row r="46" spans="10:16" x14ac:dyDescent="0.25">
      <c r="J46" s="2">
        <v>2</v>
      </c>
      <c r="K46" s="4">
        <f>28/424</f>
        <v>6.6037735849056603E-2</v>
      </c>
      <c r="L46" s="4">
        <f>41/424</f>
        <v>9.6698113207547176E-2</v>
      </c>
      <c r="M46" s="4">
        <f>69/424</f>
        <v>0.16273584905660377</v>
      </c>
      <c r="N46" s="4">
        <f>129/424</f>
        <v>0.30424528301886794</v>
      </c>
      <c r="O46" s="4">
        <f>157/424</f>
        <v>0.37028301886792453</v>
      </c>
      <c r="P46" s="5">
        <f>(28*1+41*2+69*3+129*4+157*5)/424</f>
        <v>3.8160377358490565</v>
      </c>
    </row>
    <row r="47" spans="10:16" x14ac:dyDescent="0.25">
      <c r="J47" s="2">
        <v>3</v>
      </c>
      <c r="K47" s="4">
        <f>3/389</f>
        <v>7.7120822622107968E-3</v>
      </c>
      <c r="L47" s="4">
        <f>18/389</f>
        <v>4.6272493573264781E-2</v>
      </c>
      <c r="M47" s="4">
        <f>79/389</f>
        <v>0.20308483290488433</v>
      </c>
      <c r="N47" s="4">
        <f>143/389</f>
        <v>0.36760925449871468</v>
      </c>
      <c r="O47" s="4">
        <f>146/389</f>
        <v>0.37532133676092544</v>
      </c>
      <c r="P47" s="5">
        <f>(3*1+18*2+79*3+143*4+146*5)/389</f>
        <v>4.0565552699228791</v>
      </c>
    </row>
    <row r="48" spans="10:16" x14ac:dyDescent="0.25">
      <c r="J48" s="2"/>
      <c r="K48" s="2"/>
      <c r="L48" s="2"/>
      <c r="M48" s="2"/>
      <c r="N48" s="2"/>
      <c r="O48" s="2"/>
      <c r="P48" s="2"/>
    </row>
    <row r="66" spans="2:6" ht="60.75" customHeight="1" x14ac:dyDescent="0.25">
      <c r="B66" s="30" t="s">
        <v>25</v>
      </c>
      <c r="C66" s="31"/>
      <c r="D66" s="31"/>
      <c r="E66" s="31"/>
      <c r="F66" s="32"/>
    </row>
    <row r="67" spans="2:6" x14ac:dyDescent="0.25">
      <c r="B67" s="7"/>
      <c r="C67" s="8" t="s">
        <v>17</v>
      </c>
      <c r="D67" s="8" t="s">
        <v>18</v>
      </c>
      <c r="E67" s="8" t="s">
        <v>19</v>
      </c>
      <c r="F67" s="9" t="s">
        <v>18</v>
      </c>
    </row>
    <row r="68" spans="2:6" ht="36" customHeight="1" x14ac:dyDescent="0.25">
      <c r="B68" s="10" t="s">
        <v>27</v>
      </c>
      <c r="C68" s="13">
        <v>874</v>
      </c>
      <c r="D68" s="14">
        <f>C68/1190</f>
        <v>0.7344537815126051</v>
      </c>
      <c r="E68" s="13">
        <v>316</v>
      </c>
      <c r="F68" s="15">
        <f>E68/1190</f>
        <v>0.26554621848739496</v>
      </c>
    </row>
    <row r="69" spans="2:6" ht="36" x14ac:dyDescent="0.25">
      <c r="B69" s="11" t="s">
        <v>28</v>
      </c>
      <c r="C69" s="16">
        <v>1027</v>
      </c>
      <c r="D69" s="17">
        <f t="shared" ref="D69:D72" si="2">C69/1190</f>
        <v>0.86302521008403366</v>
      </c>
      <c r="E69" s="16">
        <v>163</v>
      </c>
      <c r="F69" s="18">
        <f t="shared" ref="F69:F72" si="3">E69/1190</f>
        <v>0.1369747899159664</v>
      </c>
    </row>
    <row r="70" spans="2:6" ht="48" x14ac:dyDescent="0.25">
      <c r="B70" s="10" t="s">
        <v>29</v>
      </c>
      <c r="C70" s="13">
        <v>1059</v>
      </c>
      <c r="D70" s="14">
        <f t="shared" si="2"/>
        <v>0.88991596638655457</v>
      </c>
      <c r="E70" s="13">
        <v>131</v>
      </c>
      <c r="F70" s="15">
        <f t="shared" si="3"/>
        <v>0.11008403361344538</v>
      </c>
    </row>
    <row r="71" spans="2:6" ht="48" x14ac:dyDescent="0.25">
      <c r="B71" s="11" t="s">
        <v>73</v>
      </c>
      <c r="C71" s="16">
        <v>1162</v>
      </c>
      <c r="D71" s="17">
        <f t="shared" si="2"/>
        <v>0.97647058823529409</v>
      </c>
      <c r="E71" s="16">
        <v>28</v>
      </c>
      <c r="F71" s="18">
        <f t="shared" si="3"/>
        <v>2.3529411764705882E-2</v>
      </c>
    </row>
    <row r="72" spans="2:6" ht="24" x14ac:dyDescent="0.25">
      <c r="B72" s="12" t="s">
        <v>26</v>
      </c>
      <c r="C72" s="19">
        <v>1127</v>
      </c>
      <c r="D72" s="20">
        <f t="shared" si="2"/>
        <v>0.94705882352941173</v>
      </c>
      <c r="E72" s="19">
        <f>1190-1127</f>
        <v>63</v>
      </c>
      <c r="F72" s="21">
        <f t="shared" si="3"/>
        <v>5.2941176470588235E-2</v>
      </c>
    </row>
    <row r="77" spans="2:6" ht="36" customHeight="1" x14ac:dyDescent="0.25">
      <c r="B77" s="27" t="s">
        <v>30</v>
      </c>
      <c r="C77" s="33"/>
      <c r="D77" s="33"/>
      <c r="E77" s="33"/>
      <c r="F77" s="34"/>
    </row>
    <row r="78" spans="2:6" x14ac:dyDescent="0.25">
      <c r="B78" s="7"/>
      <c r="C78" s="8" t="s">
        <v>17</v>
      </c>
      <c r="D78" s="8" t="s">
        <v>18</v>
      </c>
      <c r="E78" s="8" t="s">
        <v>19</v>
      </c>
      <c r="F78" s="9" t="s">
        <v>18</v>
      </c>
    </row>
    <row r="79" spans="2:6" ht="24" x14ac:dyDescent="0.25">
      <c r="B79" s="10" t="s">
        <v>31</v>
      </c>
      <c r="C79" s="13">
        <v>528</v>
      </c>
      <c r="D79" s="14">
        <f>C79/1190</f>
        <v>0.44369747899159662</v>
      </c>
      <c r="E79" s="13">
        <v>662</v>
      </c>
      <c r="F79" s="15">
        <f>E79/1190</f>
        <v>0.55630252100840338</v>
      </c>
    </row>
    <row r="80" spans="2:6" ht="24" x14ac:dyDescent="0.25">
      <c r="B80" s="11" t="s">
        <v>32</v>
      </c>
      <c r="C80" s="16">
        <v>1126</v>
      </c>
      <c r="D80" s="17">
        <f t="shared" ref="D80:D87" si="4">C80/1190</f>
        <v>0.94621848739495795</v>
      </c>
      <c r="E80" s="16">
        <v>64</v>
      </c>
      <c r="F80" s="18">
        <f t="shared" ref="F80:F87" si="5">E80/1190</f>
        <v>5.378151260504202E-2</v>
      </c>
    </row>
    <row r="81" spans="2:6" ht="24" x14ac:dyDescent="0.25">
      <c r="B81" s="10" t="s">
        <v>33</v>
      </c>
      <c r="C81" s="13">
        <v>920</v>
      </c>
      <c r="D81" s="14">
        <f t="shared" si="4"/>
        <v>0.77310924369747902</v>
      </c>
      <c r="E81" s="13">
        <v>270</v>
      </c>
      <c r="F81" s="15">
        <f t="shared" si="5"/>
        <v>0.22689075630252101</v>
      </c>
    </row>
    <row r="82" spans="2:6" ht="24" x14ac:dyDescent="0.25">
      <c r="B82" s="11" t="s">
        <v>34</v>
      </c>
      <c r="C82" s="16">
        <v>614</v>
      </c>
      <c r="D82" s="17">
        <f t="shared" si="4"/>
        <v>0.5159663865546219</v>
      </c>
      <c r="E82" s="16">
        <v>576</v>
      </c>
      <c r="F82" s="18">
        <f t="shared" si="5"/>
        <v>0.48403361344537815</v>
      </c>
    </row>
    <row r="83" spans="2:6" ht="72" x14ac:dyDescent="0.25">
      <c r="B83" s="10" t="s">
        <v>35</v>
      </c>
      <c r="C83" s="13">
        <v>1062</v>
      </c>
      <c r="D83" s="14">
        <f t="shared" si="4"/>
        <v>0.89243697478991602</v>
      </c>
      <c r="E83" s="13">
        <v>128</v>
      </c>
      <c r="F83" s="15">
        <f t="shared" si="5"/>
        <v>0.10756302521008404</v>
      </c>
    </row>
    <row r="84" spans="2:6" ht="24" x14ac:dyDescent="0.25">
      <c r="B84" s="11" t="s">
        <v>36</v>
      </c>
      <c r="C84" s="16">
        <v>498</v>
      </c>
      <c r="D84" s="17">
        <f t="shared" si="4"/>
        <v>0.41848739495798321</v>
      </c>
      <c r="E84" s="16">
        <v>692</v>
      </c>
      <c r="F84" s="18">
        <f t="shared" si="5"/>
        <v>0.58151260504201685</v>
      </c>
    </row>
    <row r="85" spans="2:6" ht="24" x14ac:dyDescent="0.25">
      <c r="B85" s="10" t="s">
        <v>37</v>
      </c>
      <c r="C85" s="13">
        <v>1134</v>
      </c>
      <c r="D85" s="14">
        <f t="shared" si="4"/>
        <v>0.95294117647058818</v>
      </c>
      <c r="E85" s="13">
        <v>56</v>
      </c>
      <c r="F85" s="15">
        <f t="shared" si="5"/>
        <v>4.7058823529411764E-2</v>
      </c>
    </row>
    <row r="86" spans="2:6" ht="72" x14ac:dyDescent="0.25">
      <c r="B86" s="11" t="s">
        <v>38</v>
      </c>
      <c r="C86" s="16">
        <v>881</v>
      </c>
      <c r="D86" s="17">
        <f t="shared" si="4"/>
        <v>0.74033613445378155</v>
      </c>
      <c r="E86" s="16">
        <v>309</v>
      </c>
      <c r="F86" s="18">
        <f t="shared" si="5"/>
        <v>0.25966386554621851</v>
      </c>
    </row>
    <row r="87" spans="2:6" ht="24" x14ac:dyDescent="0.25">
      <c r="B87" s="12" t="s">
        <v>39</v>
      </c>
      <c r="C87" s="19">
        <v>1131</v>
      </c>
      <c r="D87" s="20">
        <f t="shared" si="4"/>
        <v>0.95042016806722684</v>
      </c>
      <c r="E87" s="19">
        <v>59</v>
      </c>
      <c r="F87" s="21">
        <f t="shared" si="5"/>
        <v>4.9579831932773107E-2</v>
      </c>
    </row>
  </sheetData>
  <mergeCells count="3">
    <mergeCell ref="B4:F4"/>
    <mergeCell ref="B66:F66"/>
    <mergeCell ref="B77:F77"/>
  </mergeCells>
  <pageMargins left="0.7" right="0.7" top="0.75" bottom="0.75" header="0.3" footer="0.3"/>
  <ignoredErrors>
    <ignoredError sqref="E10 E7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:U26"/>
  <sheetViews>
    <sheetView showGridLines="0" workbookViewId="0">
      <selection activeCell="N11" sqref="N11"/>
    </sheetView>
  </sheetViews>
  <sheetFormatPr defaultRowHeight="15" x14ac:dyDescent="0.25"/>
  <sheetData>
    <row r="4" spans="12:20" x14ac:dyDescent="0.25">
      <c r="L4" s="1"/>
      <c r="M4" s="1"/>
      <c r="N4" s="1"/>
      <c r="O4" s="1"/>
      <c r="P4" s="1"/>
      <c r="Q4" s="1"/>
      <c r="R4" s="1"/>
      <c r="S4" s="1"/>
      <c r="T4" s="1"/>
    </row>
    <row r="5" spans="12:20" x14ac:dyDescent="0.25">
      <c r="L5" s="1"/>
      <c r="M5" s="1"/>
      <c r="N5" s="1"/>
      <c r="O5" s="1"/>
      <c r="P5" s="1"/>
      <c r="Q5" s="1"/>
      <c r="R5" s="1"/>
      <c r="S5" s="1"/>
      <c r="T5" s="1"/>
    </row>
    <row r="6" spans="12:20" x14ac:dyDescent="0.25">
      <c r="L6" s="1"/>
      <c r="M6" s="2"/>
      <c r="N6" s="2"/>
      <c r="O6" s="2"/>
      <c r="P6" s="2"/>
      <c r="Q6" s="2"/>
      <c r="R6" s="2"/>
      <c r="S6" s="2"/>
      <c r="T6" s="2"/>
    </row>
    <row r="7" spans="12:20" x14ac:dyDescent="0.25">
      <c r="L7" s="1"/>
      <c r="M7" s="2"/>
      <c r="N7" s="2" t="s">
        <v>1</v>
      </c>
      <c r="O7" s="2">
        <v>2</v>
      </c>
      <c r="P7" s="2">
        <v>3</v>
      </c>
      <c r="Q7" s="2">
        <v>4</v>
      </c>
      <c r="R7" s="2" t="s">
        <v>2</v>
      </c>
      <c r="S7" s="2" t="s">
        <v>3</v>
      </c>
      <c r="T7" s="2"/>
    </row>
    <row r="8" spans="12:20" x14ac:dyDescent="0.25">
      <c r="L8" s="1"/>
      <c r="M8" s="3">
        <v>1</v>
      </c>
      <c r="N8" s="4">
        <f>12/912</f>
        <v>1.3157894736842105E-2</v>
      </c>
      <c r="O8" s="4">
        <f>68/912</f>
        <v>7.4561403508771926E-2</v>
      </c>
      <c r="P8" s="4">
        <f>194/912</f>
        <v>0.21271929824561403</v>
      </c>
      <c r="Q8" s="4">
        <f>425/912</f>
        <v>0.46600877192982454</v>
      </c>
      <c r="R8" s="4">
        <f>213/912</f>
        <v>0.23355263157894737</v>
      </c>
      <c r="S8" s="5">
        <v>3.83</v>
      </c>
      <c r="T8" s="2"/>
    </row>
    <row r="9" spans="12:20" x14ac:dyDescent="0.25">
      <c r="L9" s="1"/>
      <c r="M9" s="2"/>
      <c r="N9" s="2"/>
      <c r="O9" s="2"/>
      <c r="P9" s="2"/>
      <c r="Q9" s="2"/>
      <c r="R9" s="2"/>
      <c r="S9" s="2"/>
      <c r="T9" s="2"/>
    </row>
    <row r="10" spans="12:20" x14ac:dyDescent="0.25">
      <c r="L10" s="1"/>
      <c r="M10" s="1"/>
      <c r="N10" s="1"/>
      <c r="O10" s="1"/>
      <c r="P10" s="1"/>
      <c r="Q10" s="1"/>
      <c r="R10" s="1"/>
      <c r="S10" s="1"/>
      <c r="T10" s="1"/>
    </row>
    <row r="11" spans="12:20" x14ac:dyDescent="0.25">
      <c r="L11" s="1"/>
      <c r="M11" s="1"/>
      <c r="N11" s="1"/>
      <c r="O11" s="1"/>
      <c r="P11" s="1"/>
      <c r="Q11" s="1"/>
      <c r="R11" s="1"/>
      <c r="S11" s="1"/>
      <c r="T11" s="1"/>
    </row>
    <row r="19" spans="14:21" x14ac:dyDescent="0.25">
      <c r="N19" s="1"/>
      <c r="O19" s="1"/>
      <c r="P19" s="1"/>
      <c r="Q19" s="1"/>
      <c r="R19" s="1"/>
      <c r="S19" s="1"/>
      <c r="T19" s="1"/>
      <c r="U19" s="1"/>
    </row>
    <row r="20" spans="14:21" x14ac:dyDescent="0.25">
      <c r="N20" s="2"/>
      <c r="O20" s="2"/>
      <c r="P20" s="2"/>
      <c r="Q20" s="2"/>
      <c r="R20" s="2"/>
      <c r="S20" s="2"/>
      <c r="T20" s="2"/>
      <c r="U20" s="2"/>
    </row>
    <row r="21" spans="14:21" x14ac:dyDescent="0.25">
      <c r="N21" s="2"/>
      <c r="O21" s="2"/>
      <c r="P21" s="2"/>
      <c r="Q21" s="2"/>
      <c r="R21" s="2"/>
      <c r="S21" s="2"/>
      <c r="T21" s="2"/>
      <c r="U21" s="2"/>
    </row>
    <row r="22" spans="14:21" x14ac:dyDescent="0.25">
      <c r="N22" s="2"/>
      <c r="O22" s="2" t="s">
        <v>1</v>
      </c>
      <c r="P22" s="2">
        <v>2</v>
      </c>
      <c r="Q22" s="2">
        <v>3</v>
      </c>
      <c r="R22" s="2">
        <v>4</v>
      </c>
      <c r="S22" s="2" t="s">
        <v>2</v>
      </c>
      <c r="T22" s="2" t="s">
        <v>3</v>
      </c>
      <c r="U22" s="2"/>
    </row>
    <row r="23" spans="14:21" x14ac:dyDescent="0.25">
      <c r="N23" s="3">
        <v>1</v>
      </c>
      <c r="O23" s="4">
        <f>4/436</f>
        <v>9.1743119266055051E-3</v>
      </c>
      <c r="P23" s="4">
        <f>26/436</f>
        <v>5.9633027522935783E-2</v>
      </c>
      <c r="Q23" s="4">
        <f>85/436</f>
        <v>0.19495412844036697</v>
      </c>
      <c r="R23" s="4">
        <f>220/436</f>
        <v>0.50458715596330272</v>
      </c>
      <c r="S23" s="4">
        <f>101/436</f>
        <v>0.23165137614678899</v>
      </c>
      <c r="T23" s="25">
        <v>3.89</v>
      </c>
      <c r="U23" s="2"/>
    </row>
    <row r="24" spans="14:21" x14ac:dyDescent="0.25">
      <c r="N24" s="2"/>
      <c r="O24" s="2"/>
      <c r="P24" s="2"/>
      <c r="Q24" s="2"/>
      <c r="R24" s="2"/>
      <c r="S24" s="2"/>
      <c r="T24" s="2"/>
      <c r="U24" s="2"/>
    </row>
    <row r="25" spans="14:21" x14ac:dyDescent="0.25">
      <c r="N25" s="1"/>
      <c r="O25" s="1"/>
      <c r="P25" s="1"/>
      <c r="Q25" s="1"/>
      <c r="R25" s="1"/>
      <c r="S25" s="1"/>
      <c r="T25" s="1"/>
      <c r="U25" s="1"/>
    </row>
    <row r="26" spans="14:21" x14ac:dyDescent="0.25">
      <c r="N26" s="1"/>
      <c r="O26" s="1"/>
      <c r="P26" s="1"/>
      <c r="Q26" s="1"/>
      <c r="R26" s="1"/>
      <c r="S26" s="1"/>
      <c r="T26" s="1"/>
      <c r="U26" s="1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V95"/>
  <sheetViews>
    <sheetView showGridLines="0" workbookViewId="0">
      <selection activeCell="L31" sqref="L31"/>
    </sheetView>
  </sheetViews>
  <sheetFormatPr defaultRowHeight="15" x14ac:dyDescent="0.25"/>
  <cols>
    <col min="2" max="2" width="25.85546875" customWidth="1"/>
  </cols>
  <sheetData>
    <row r="6" spans="14:22" x14ac:dyDescent="0.25">
      <c r="N6" s="1"/>
      <c r="O6" s="1"/>
      <c r="P6" s="1"/>
      <c r="Q6" s="1"/>
      <c r="R6" s="1"/>
      <c r="S6" s="1"/>
      <c r="T6" s="1"/>
      <c r="U6" s="1"/>
      <c r="V6" s="1"/>
    </row>
    <row r="7" spans="14:22" x14ac:dyDescent="0.25">
      <c r="N7" s="1"/>
      <c r="O7" s="1"/>
      <c r="P7" s="1"/>
      <c r="Q7" s="1"/>
      <c r="R7" s="1"/>
      <c r="S7" s="1"/>
      <c r="T7" s="1"/>
      <c r="U7" s="1"/>
      <c r="V7" s="1"/>
    </row>
    <row r="8" spans="14:22" x14ac:dyDescent="0.25">
      <c r="N8" s="2" t="s">
        <v>41</v>
      </c>
      <c r="O8" s="2" t="s">
        <v>42</v>
      </c>
      <c r="P8" s="2" t="s">
        <v>43</v>
      </c>
      <c r="Q8" s="2" t="s">
        <v>44</v>
      </c>
      <c r="R8" s="2" t="s">
        <v>45</v>
      </c>
      <c r="S8" s="2" t="s">
        <v>46</v>
      </c>
      <c r="T8" s="2" t="s">
        <v>11</v>
      </c>
      <c r="U8" s="1"/>
      <c r="V8" s="1"/>
    </row>
    <row r="9" spans="14:22" x14ac:dyDescent="0.25">
      <c r="N9" s="2">
        <v>444</v>
      </c>
      <c r="O9" s="2">
        <v>113</v>
      </c>
      <c r="P9" s="2">
        <v>21</v>
      </c>
      <c r="Q9" s="2">
        <v>70</v>
      </c>
      <c r="R9" s="2">
        <v>95</v>
      </c>
      <c r="S9" s="2">
        <v>84</v>
      </c>
      <c r="T9" s="2">
        <v>67</v>
      </c>
      <c r="U9" s="1"/>
      <c r="V9" s="1"/>
    </row>
    <row r="10" spans="14:22" x14ac:dyDescent="0.25">
      <c r="N10" s="1"/>
      <c r="O10" s="1"/>
      <c r="P10" s="1"/>
      <c r="Q10" s="1"/>
      <c r="R10" s="1"/>
      <c r="S10" s="1"/>
      <c r="T10" s="1"/>
      <c r="U10" s="1"/>
      <c r="V10" s="1"/>
    </row>
    <row r="11" spans="14:22" x14ac:dyDescent="0.25">
      <c r="N11" s="1"/>
      <c r="O11" s="1"/>
      <c r="P11" s="1"/>
      <c r="Q11" s="1"/>
      <c r="R11" s="1"/>
      <c r="S11" s="1"/>
      <c r="T11" s="1"/>
      <c r="U11" s="1"/>
      <c r="V11" s="1"/>
    </row>
    <row r="12" spans="14:22" x14ac:dyDescent="0.25">
      <c r="N12" s="1"/>
      <c r="O12" s="1"/>
      <c r="P12" s="1"/>
      <c r="Q12" s="1"/>
      <c r="R12" s="1"/>
      <c r="S12" s="1"/>
      <c r="T12" s="1"/>
      <c r="U12" s="1"/>
      <c r="V12" s="1"/>
    </row>
    <row r="13" spans="14:22" x14ac:dyDescent="0.25">
      <c r="N13" s="1"/>
      <c r="O13" s="1"/>
      <c r="P13" s="1"/>
      <c r="Q13" s="1"/>
      <c r="R13" s="1"/>
      <c r="S13" s="1"/>
      <c r="T13" s="1"/>
      <c r="U13" s="1"/>
      <c r="V13" s="1"/>
    </row>
    <row r="22" spans="14:18" ht="16.5" customHeight="1" x14ac:dyDescent="0.25"/>
    <row r="23" spans="14:18" ht="17.25" customHeight="1" x14ac:dyDescent="0.25">
      <c r="N23" s="2" t="s">
        <v>47</v>
      </c>
      <c r="O23" s="2" t="s">
        <v>48</v>
      </c>
      <c r="P23" s="2" t="s">
        <v>49</v>
      </c>
      <c r="Q23" s="2" t="s">
        <v>11</v>
      </c>
      <c r="R23" s="2" t="s">
        <v>50</v>
      </c>
    </row>
    <row r="24" spans="14:18" ht="16.5" customHeight="1" x14ac:dyDescent="0.25">
      <c r="N24" s="24">
        <v>99</v>
      </c>
      <c r="O24" s="24">
        <v>136</v>
      </c>
      <c r="P24" s="24">
        <v>150</v>
      </c>
      <c r="Q24" s="24">
        <v>38</v>
      </c>
      <c r="R24" s="24">
        <v>21</v>
      </c>
    </row>
    <row r="42" spans="2:10" ht="33.75" customHeight="1" x14ac:dyDescent="0.25">
      <c r="B42" s="27" t="s">
        <v>52</v>
      </c>
      <c r="C42" s="28"/>
      <c r="D42" s="28"/>
      <c r="E42" s="28"/>
      <c r="F42" s="28"/>
      <c r="G42" s="28"/>
      <c r="H42" s="28"/>
      <c r="I42" s="28"/>
      <c r="J42" s="29"/>
    </row>
    <row r="43" spans="2:10" x14ac:dyDescent="0.25">
      <c r="B43" s="7"/>
      <c r="C43" s="35" t="s">
        <v>17</v>
      </c>
      <c r="D43" s="35"/>
      <c r="E43" s="35" t="s">
        <v>18</v>
      </c>
      <c r="F43" s="35"/>
      <c r="G43" s="36" t="s">
        <v>19</v>
      </c>
      <c r="H43" s="36"/>
      <c r="I43" s="35" t="s">
        <v>18</v>
      </c>
      <c r="J43" s="37"/>
    </row>
    <row r="44" spans="2:10" ht="120" x14ac:dyDescent="0.25">
      <c r="B44" s="10" t="s">
        <v>51</v>
      </c>
      <c r="C44" s="39">
        <v>936</v>
      </c>
      <c r="D44" s="39"/>
      <c r="E44" s="41">
        <v>0.78700000000000003</v>
      </c>
      <c r="F44" s="41"/>
      <c r="G44" s="45">
        <v>254</v>
      </c>
      <c r="H44" s="45"/>
      <c r="I44" s="41">
        <v>0.21299999999999999</v>
      </c>
      <c r="J44" s="47"/>
    </row>
    <row r="45" spans="2:10" ht="48" x14ac:dyDescent="0.25">
      <c r="B45" s="11" t="s">
        <v>53</v>
      </c>
      <c r="C45" s="38">
        <v>827</v>
      </c>
      <c r="D45" s="38"/>
      <c r="E45" s="42">
        <v>0.69499999999999995</v>
      </c>
      <c r="F45" s="42"/>
      <c r="G45" s="44">
        <v>363</v>
      </c>
      <c r="H45" s="44"/>
      <c r="I45" s="42">
        <v>0.30499999999999999</v>
      </c>
      <c r="J45" s="48"/>
    </row>
    <row r="46" spans="2:10" ht="24" x14ac:dyDescent="0.25">
      <c r="B46" s="10" t="s">
        <v>54</v>
      </c>
      <c r="C46" s="39">
        <v>1056</v>
      </c>
      <c r="D46" s="39"/>
      <c r="E46" s="41">
        <v>0.88700000000000001</v>
      </c>
      <c r="F46" s="41"/>
      <c r="G46" s="45">
        <v>134</v>
      </c>
      <c r="H46" s="45"/>
      <c r="I46" s="41">
        <v>0.113</v>
      </c>
      <c r="J46" s="47"/>
    </row>
    <row r="47" spans="2:10" ht="24" x14ac:dyDescent="0.25">
      <c r="B47" s="23" t="s">
        <v>55</v>
      </c>
      <c r="C47" s="40">
        <v>901</v>
      </c>
      <c r="D47" s="40"/>
      <c r="E47" s="43">
        <v>0.75700000000000001</v>
      </c>
      <c r="F47" s="43"/>
      <c r="G47" s="46">
        <v>289</v>
      </c>
      <c r="H47" s="46"/>
      <c r="I47" s="43">
        <v>0.24299999999999999</v>
      </c>
      <c r="J47" s="49"/>
    </row>
    <row r="52" spans="14:18" x14ac:dyDescent="0.25">
      <c r="N52" s="2" t="s">
        <v>56</v>
      </c>
      <c r="O52" s="2" t="s">
        <v>57</v>
      </c>
      <c r="P52" s="2" t="s">
        <v>58</v>
      </c>
      <c r="Q52" s="2" t="s">
        <v>59</v>
      </c>
    </row>
    <row r="53" spans="14:18" x14ac:dyDescent="0.25">
      <c r="N53" s="24">
        <v>192</v>
      </c>
      <c r="O53" s="24">
        <v>39</v>
      </c>
      <c r="P53" s="24">
        <v>165</v>
      </c>
      <c r="Q53" s="24">
        <v>483</v>
      </c>
      <c r="R53" s="22"/>
    </row>
    <row r="72" spans="14:19" x14ac:dyDescent="0.25">
      <c r="N72" s="2" t="s">
        <v>60</v>
      </c>
      <c r="O72" s="2" t="s">
        <v>61</v>
      </c>
      <c r="P72" s="2" t="s">
        <v>62</v>
      </c>
      <c r="Q72" s="2" t="s">
        <v>63</v>
      </c>
      <c r="R72" s="2" t="s">
        <v>64</v>
      </c>
      <c r="S72" s="2"/>
    </row>
    <row r="73" spans="14:19" x14ac:dyDescent="0.25">
      <c r="N73" s="2">
        <v>95</v>
      </c>
      <c r="O73" s="2">
        <v>237</v>
      </c>
      <c r="P73" s="2">
        <v>216</v>
      </c>
      <c r="Q73" s="2">
        <v>49</v>
      </c>
      <c r="R73" s="2">
        <v>106</v>
      </c>
      <c r="S73" s="2"/>
    </row>
    <row r="94" spans="14:17" x14ac:dyDescent="0.25">
      <c r="N94" s="2" t="s">
        <v>65</v>
      </c>
      <c r="O94" s="2" t="s">
        <v>66</v>
      </c>
      <c r="P94" s="2" t="s">
        <v>67</v>
      </c>
      <c r="Q94" s="2" t="s">
        <v>68</v>
      </c>
    </row>
    <row r="95" spans="14:17" x14ac:dyDescent="0.25">
      <c r="N95" s="2">
        <v>109</v>
      </c>
      <c r="O95" s="2">
        <v>188</v>
      </c>
      <c r="P95" s="2">
        <v>136</v>
      </c>
      <c r="Q95" s="2">
        <v>417</v>
      </c>
    </row>
  </sheetData>
  <mergeCells count="21">
    <mergeCell ref="G45:H45"/>
    <mergeCell ref="G46:H46"/>
    <mergeCell ref="G47:H47"/>
    <mergeCell ref="I44:J44"/>
    <mergeCell ref="I45:J45"/>
    <mergeCell ref="I46:J46"/>
    <mergeCell ref="I47:J47"/>
    <mergeCell ref="G44:H44"/>
    <mergeCell ref="C45:D45"/>
    <mergeCell ref="C46:D46"/>
    <mergeCell ref="C47:D47"/>
    <mergeCell ref="E44:F44"/>
    <mergeCell ref="E45:F45"/>
    <mergeCell ref="E46:F46"/>
    <mergeCell ref="E47:F47"/>
    <mergeCell ref="C44:D44"/>
    <mergeCell ref="C43:D43"/>
    <mergeCell ref="E43:F43"/>
    <mergeCell ref="G43:H43"/>
    <mergeCell ref="I43:J43"/>
    <mergeCell ref="B42:J42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Fase de formació</vt:lpstr>
      <vt:lpstr>Període de Recerca</vt:lpstr>
      <vt:lpstr>Periode de recerca (Elab. Tesi)</vt:lpstr>
      <vt:lpstr>Org. i Sup. Admin.</vt:lpstr>
      <vt:lpstr>Mitjans</vt:lpstr>
      <vt:lpstr>Valoració Global</vt:lpstr>
      <vt:lpstr>Dades personals i acadèmiques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2012-10-22T09:51:14Z</dcterms:created>
  <dcterms:modified xsi:type="dcterms:W3CDTF">2013-04-09T14:54:12Z</dcterms:modified>
</cp:coreProperties>
</file>